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2695" windowHeight="11445"/>
  </bookViews>
  <sheets>
    <sheet name="RESUMO GERAL" sheetId="1" r:id="rId1"/>
    <sheet name="JAN-19" sheetId="2" r:id="rId2"/>
    <sheet name="FEV-19" sheetId="3" r:id="rId3"/>
    <sheet name="MAR-19" sheetId="4" r:id="rId4"/>
    <sheet name="ABR-19" sheetId="5" r:id="rId5"/>
    <sheet name="MAI-19" sheetId="6" r:id="rId6"/>
    <sheet name="JUN-19" sheetId="7" r:id="rId7"/>
    <sheet name="JUL-19" sheetId="8" r:id="rId8"/>
    <sheet name="AGO-19" sheetId="9" r:id="rId9"/>
    <sheet name="SET-19" sheetId="10" r:id="rId10"/>
    <sheet name="OUT-19" sheetId="11" r:id="rId11"/>
    <sheet name="NOV-19" sheetId="12" r:id="rId12"/>
    <sheet name="DEZ-19" sheetId="13" r:id="rId13"/>
  </sheets>
  <calcPr calcId="145621"/>
</workbook>
</file>

<file path=xl/calcChain.xml><?xml version="1.0" encoding="utf-8"?>
<calcChain xmlns="http://schemas.openxmlformats.org/spreadsheetml/2006/main">
  <c r="O20" i="13" l="1"/>
  <c r="N20" i="13"/>
  <c r="M20" i="13"/>
  <c r="S19" i="13"/>
  <c r="H19" i="13"/>
  <c r="R18" i="13"/>
  <c r="Q18" i="13"/>
  <c r="S18" i="13" s="1"/>
  <c r="H18" i="13"/>
  <c r="S17" i="13"/>
  <c r="H17" i="13"/>
  <c r="S16" i="13"/>
  <c r="H16" i="13"/>
  <c r="S15" i="13"/>
  <c r="H15" i="13"/>
  <c r="S14" i="13"/>
  <c r="H14" i="13"/>
  <c r="S13" i="13"/>
  <c r="H13" i="13"/>
  <c r="S12" i="13"/>
  <c r="H12" i="13"/>
  <c r="S11" i="13"/>
  <c r="H11" i="13"/>
  <c r="S10" i="13"/>
  <c r="Q10" i="13"/>
  <c r="H10" i="13"/>
  <c r="Q9" i="13"/>
  <c r="S9" i="13" s="1"/>
  <c r="H9" i="13"/>
  <c r="S8" i="13"/>
  <c r="Q8" i="13"/>
  <c r="H8" i="13"/>
  <c r="R7" i="13"/>
  <c r="R20" i="13" s="1"/>
  <c r="I17" i="1" s="1"/>
  <c r="Q7" i="13"/>
  <c r="P7" i="13"/>
  <c r="S7" i="13" s="1"/>
  <c r="H7" i="13"/>
  <c r="R6" i="13"/>
  <c r="Q6" i="13"/>
  <c r="Q20" i="13" s="1"/>
  <c r="P6" i="13"/>
  <c r="H6" i="13"/>
  <c r="S5" i="13"/>
  <c r="H5" i="13"/>
  <c r="O34" i="12"/>
  <c r="N34" i="12"/>
  <c r="M34" i="12"/>
  <c r="S33" i="12"/>
  <c r="H33" i="12"/>
  <c r="S32" i="12"/>
  <c r="H32" i="12"/>
  <c r="S31" i="12"/>
  <c r="H31" i="12"/>
  <c r="S30" i="12"/>
  <c r="H30" i="12"/>
  <c r="S29" i="12"/>
  <c r="H29" i="12"/>
  <c r="S28" i="12"/>
  <c r="R28" i="12"/>
  <c r="H28" i="12"/>
  <c r="Q27" i="12"/>
  <c r="S27" i="12" s="1"/>
  <c r="R26" i="12"/>
  <c r="S26" i="12" s="1"/>
  <c r="R25" i="12"/>
  <c r="Q25" i="12"/>
  <c r="H25" i="12"/>
  <c r="Q24" i="12"/>
  <c r="S24" i="12" s="1"/>
  <c r="H24" i="12"/>
  <c r="S23" i="12"/>
  <c r="Q23" i="12"/>
  <c r="H23" i="12"/>
  <c r="R22" i="12"/>
  <c r="Q22" i="12"/>
  <c r="H22" i="12"/>
  <c r="S21" i="12"/>
  <c r="H21" i="12"/>
  <c r="R20" i="12"/>
  <c r="Q20" i="12"/>
  <c r="S20" i="12" s="1"/>
  <c r="H20" i="12"/>
  <c r="R19" i="12"/>
  <c r="Q19" i="12"/>
  <c r="H19" i="12"/>
  <c r="R18" i="12"/>
  <c r="Q18" i="12"/>
  <c r="S18" i="12" s="1"/>
  <c r="H18" i="12"/>
  <c r="Q17" i="12"/>
  <c r="S17" i="12" s="1"/>
  <c r="H17" i="12"/>
  <c r="R16" i="12"/>
  <c r="P16" i="12"/>
  <c r="P34" i="12" s="1"/>
  <c r="H16" i="12"/>
  <c r="R15" i="12"/>
  <c r="Q15" i="12"/>
  <c r="S15" i="12" s="1"/>
  <c r="H15" i="12"/>
  <c r="R14" i="12"/>
  <c r="Q14" i="12"/>
  <c r="S14" i="12" s="1"/>
  <c r="H14" i="12"/>
  <c r="R13" i="12"/>
  <c r="Q13" i="12"/>
  <c r="S13" i="12" s="1"/>
  <c r="H13" i="12"/>
  <c r="S12" i="12"/>
  <c r="R12" i="12"/>
  <c r="H12" i="12"/>
  <c r="R11" i="12"/>
  <c r="S11" i="12" s="1"/>
  <c r="H11" i="12"/>
  <c r="S10" i="12"/>
  <c r="R10" i="12"/>
  <c r="H10" i="12"/>
  <c r="S9" i="12"/>
  <c r="H9" i="12"/>
  <c r="Q8" i="12"/>
  <c r="S8" i="12" s="1"/>
  <c r="H8" i="12"/>
  <c r="S7" i="12"/>
  <c r="H7" i="12"/>
  <c r="S6" i="12"/>
  <c r="P6" i="12"/>
  <c r="H6" i="12"/>
  <c r="Q5" i="12"/>
  <c r="P5" i="12"/>
  <c r="S5" i="12" s="1"/>
  <c r="H5" i="12"/>
  <c r="O31" i="11"/>
  <c r="N31" i="11"/>
  <c r="M31" i="11"/>
  <c r="S30" i="11"/>
  <c r="H30" i="11"/>
  <c r="S29" i="11"/>
  <c r="H29" i="11"/>
  <c r="S28" i="11"/>
  <c r="Q28" i="11"/>
  <c r="H28" i="11"/>
  <c r="R27" i="11"/>
  <c r="Q27" i="11"/>
  <c r="H27" i="11"/>
  <c r="R26" i="11"/>
  <c r="Q26" i="11"/>
  <c r="S26" i="11" s="1"/>
  <c r="H26" i="11"/>
  <c r="R25" i="11"/>
  <c r="Q25" i="11"/>
  <c r="H25" i="11"/>
  <c r="R24" i="11"/>
  <c r="Q24" i="11"/>
  <c r="S24" i="11" s="1"/>
  <c r="H24" i="11"/>
  <c r="R23" i="11"/>
  <c r="R31" i="11" s="1"/>
  <c r="I15" i="1" s="1"/>
  <c r="Q23" i="11"/>
  <c r="P23" i="11"/>
  <c r="S23" i="11" s="1"/>
  <c r="H23" i="11"/>
  <c r="S22" i="11"/>
  <c r="R22" i="11"/>
  <c r="H22" i="11"/>
  <c r="R21" i="11"/>
  <c r="Q21" i="11"/>
  <c r="S21" i="11" s="1"/>
  <c r="H21" i="11"/>
  <c r="Q20" i="11"/>
  <c r="S20" i="11" s="1"/>
  <c r="H20" i="11"/>
  <c r="S19" i="11"/>
  <c r="H19" i="11"/>
  <c r="S18" i="11"/>
  <c r="Q18" i="11"/>
  <c r="H18" i="11"/>
  <c r="Q17" i="11"/>
  <c r="S17" i="11" s="1"/>
  <c r="H17" i="11"/>
  <c r="S16" i="11"/>
  <c r="R16" i="11"/>
  <c r="H16" i="11"/>
  <c r="Q15" i="11"/>
  <c r="S15" i="11" s="1"/>
  <c r="H15" i="11"/>
  <c r="R14" i="11"/>
  <c r="Q14" i="11"/>
  <c r="S14" i="11" s="1"/>
  <c r="H14" i="11"/>
  <c r="R13" i="11"/>
  <c r="Q13" i="11"/>
  <c r="S13" i="11" s="1"/>
  <c r="H13" i="11"/>
  <c r="R12" i="11"/>
  <c r="Q12" i="11"/>
  <c r="S12" i="11" s="1"/>
  <c r="H12" i="11"/>
  <c r="R11" i="11"/>
  <c r="Q11" i="11"/>
  <c r="S11" i="11" s="1"/>
  <c r="H11" i="11"/>
  <c r="R10" i="11"/>
  <c r="Q10" i="11"/>
  <c r="S10" i="11" s="1"/>
  <c r="H10" i="11"/>
  <c r="S9" i="11"/>
  <c r="Q9" i="11"/>
  <c r="H9" i="11"/>
  <c r="S8" i="11"/>
  <c r="H8" i="11"/>
  <c r="S7" i="11"/>
  <c r="H7" i="11"/>
  <c r="R6" i="11"/>
  <c r="S6" i="11" s="1"/>
  <c r="H6" i="11"/>
  <c r="S5" i="11"/>
  <c r="Q5" i="11"/>
  <c r="Q31" i="11" s="1"/>
  <c r="H5" i="11"/>
  <c r="P30" i="10"/>
  <c r="O30" i="10"/>
  <c r="N30" i="10"/>
  <c r="M30" i="10"/>
  <c r="S29" i="10"/>
  <c r="H29" i="10"/>
  <c r="S28" i="10"/>
  <c r="R28" i="10"/>
  <c r="H28" i="10"/>
  <c r="R27" i="10"/>
  <c r="S27" i="10" s="1"/>
  <c r="H27" i="10"/>
  <c r="S26" i="10"/>
  <c r="R26" i="10"/>
  <c r="H26" i="10"/>
  <c r="R25" i="10"/>
  <c r="S25" i="10" s="1"/>
  <c r="H25" i="10"/>
  <c r="S24" i="10"/>
  <c r="H24" i="10"/>
  <c r="S23" i="10"/>
  <c r="H23" i="10"/>
  <c r="S22" i="10"/>
  <c r="H22" i="10"/>
  <c r="S21" i="10"/>
  <c r="H21" i="10"/>
  <c r="S20" i="10"/>
  <c r="H20" i="10"/>
  <c r="S19" i="10"/>
  <c r="H19" i="10"/>
  <c r="S18" i="10"/>
  <c r="Q18" i="10"/>
  <c r="H18" i="10"/>
  <c r="Q17" i="10"/>
  <c r="S17" i="10" s="1"/>
  <c r="H17" i="10"/>
  <c r="S16" i="10"/>
  <c r="Q16" i="10"/>
  <c r="H16" i="10"/>
  <c r="R15" i="10"/>
  <c r="S15" i="10" s="1"/>
  <c r="H15" i="10"/>
  <c r="S14" i="10"/>
  <c r="R14" i="10"/>
  <c r="H14" i="10"/>
  <c r="R13" i="10"/>
  <c r="S13" i="10" s="1"/>
  <c r="H13" i="10"/>
  <c r="R12" i="10"/>
  <c r="Q12" i="10"/>
  <c r="S12" i="10" s="1"/>
  <c r="H12" i="10"/>
  <c r="R11" i="10"/>
  <c r="Q11" i="10"/>
  <c r="S11" i="10" s="1"/>
  <c r="H11" i="10"/>
  <c r="R10" i="10"/>
  <c r="Q10" i="10"/>
  <c r="S10" i="10" s="1"/>
  <c r="H10" i="10"/>
  <c r="S9" i="10"/>
  <c r="R9" i="10"/>
  <c r="H9" i="10"/>
  <c r="R8" i="10"/>
  <c r="S8" i="10" s="1"/>
  <c r="H8" i="10"/>
  <c r="S7" i="10"/>
  <c r="R7" i="10"/>
  <c r="H7" i="10"/>
  <c r="R6" i="10"/>
  <c r="S6" i="10" s="1"/>
  <c r="H6" i="10"/>
  <c r="R5" i="10"/>
  <c r="Q5" i="10"/>
  <c r="Q30" i="10" s="1"/>
  <c r="H5" i="10"/>
  <c r="P24" i="9"/>
  <c r="O24" i="9"/>
  <c r="N24" i="9"/>
  <c r="T23" i="9"/>
  <c r="I23" i="9"/>
  <c r="T22" i="9"/>
  <c r="I22" i="9"/>
  <c r="R21" i="9"/>
  <c r="Q21" i="9"/>
  <c r="T21" i="9" s="1"/>
  <c r="I21" i="9"/>
  <c r="R20" i="9"/>
  <c r="Q20" i="9"/>
  <c r="I20" i="9"/>
  <c r="R19" i="9"/>
  <c r="T19" i="9" s="1"/>
  <c r="I19" i="9"/>
  <c r="T18" i="9"/>
  <c r="S18" i="9"/>
  <c r="I18" i="9"/>
  <c r="S17" i="9"/>
  <c r="R17" i="9"/>
  <c r="I17" i="9"/>
  <c r="S16" i="9"/>
  <c r="R16" i="9"/>
  <c r="T16" i="9" s="1"/>
  <c r="I16" i="9"/>
  <c r="Q15" i="9"/>
  <c r="T15" i="9" s="1"/>
  <c r="I15" i="9"/>
  <c r="T14" i="9"/>
  <c r="S14" i="9"/>
  <c r="I14" i="9"/>
  <c r="S13" i="9"/>
  <c r="R13" i="9"/>
  <c r="T13" i="9" s="1"/>
  <c r="I13" i="9"/>
  <c r="S12" i="9"/>
  <c r="R12" i="9"/>
  <c r="I12" i="9"/>
  <c r="S11" i="9"/>
  <c r="T11" i="9" s="1"/>
  <c r="I11" i="9"/>
  <c r="S10" i="9"/>
  <c r="R10" i="9"/>
  <c r="T10" i="9" s="1"/>
  <c r="I10" i="9"/>
  <c r="S9" i="9"/>
  <c r="S24" i="9" s="1"/>
  <c r="Q9" i="9"/>
  <c r="I9" i="9"/>
  <c r="T8" i="9"/>
  <c r="I8" i="9"/>
  <c r="T7" i="9"/>
  <c r="R7" i="9"/>
  <c r="I7" i="9"/>
  <c r="R6" i="9"/>
  <c r="T6" i="9" s="1"/>
  <c r="I6" i="9"/>
  <c r="T5" i="9"/>
  <c r="I5" i="9"/>
  <c r="O29" i="8"/>
  <c r="N29" i="8"/>
  <c r="M29" i="8"/>
  <c r="R27" i="8"/>
  <c r="Q27" i="8"/>
  <c r="P27" i="8"/>
  <c r="S27" i="8" s="1"/>
  <c r="H27" i="8"/>
  <c r="S26" i="8"/>
  <c r="H26" i="8"/>
  <c r="Q25" i="8"/>
  <c r="P25" i="8"/>
  <c r="S25" i="8" s="1"/>
  <c r="H25" i="8"/>
  <c r="S24" i="8"/>
  <c r="R24" i="8"/>
  <c r="H24" i="8"/>
  <c r="R23" i="8"/>
  <c r="Q23" i="8"/>
  <c r="H23" i="8"/>
  <c r="S22" i="8"/>
  <c r="H22" i="8"/>
  <c r="R21" i="8"/>
  <c r="Q21" i="8"/>
  <c r="S21" i="8" s="1"/>
  <c r="H21" i="8"/>
  <c r="S20" i="8"/>
  <c r="H20" i="8"/>
  <c r="S19" i="8"/>
  <c r="H19" i="8"/>
  <c r="S18" i="8"/>
  <c r="H18" i="8"/>
  <c r="Q17" i="8"/>
  <c r="S17" i="8" s="1"/>
  <c r="H17" i="8"/>
  <c r="R16" i="8"/>
  <c r="Q16" i="8"/>
  <c r="Q29" i="8" s="1"/>
  <c r="H12" i="1" s="1"/>
  <c r="H16" i="8"/>
  <c r="Q15" i="8"/>
  <c r="P15" i="8"/>
  <c r="S15" i="8" s="1"/>
  <c r="H15" i="8"/>
  <c r="S14" i="8"/>
  <c r="H14" i="8"/>
  <c r="S13" i="8"/>
  <c r="H13" i="8"/>
  <c r="S12" i="8"/>
  <c r="H12" i="8"/>
  <c r="S11" i="8"/>
  <c r="H11" i="8"/>
  <c r="S10" i="8"/>
  <c r="H10" i="8"/>
  <c r="S9" i="8"/>
  <c r="R9" i="8"/>
  <c r="H9" i="8"/>
  <c r="S8" i="8"/>
  <c r="H8" i="8"/>
  <c r="S7" i="8"/>
  <c r="H7" i="8"/>
  <c r="P6" i="8"/>
  <c r="H6" i="8"/>
  <c r="S5" i="8"/>
  <c r="H5" i="8"/>
  <c r="S4" i="8"/>
  <c r="H4" i="8"/>
  <c r="O32" i="7"/>
  <c r="N32" i="7"/>
  <c r="M32" i="7"/>
  <c r="R30" i="7"/>
  <c r="S30" i="7" s="1"/>
  <c r="H30" i="7"/>
  <c r="S29" i="7"/>
  <c r="M29" i="7"/>
  <c r="H29" i="7"/>
  <c r="P28" i="7"/>
  <c r="S28" i="7" s="1"/>
  <c r="H28" i="7"/>
  <c r="S27" i="7"/>
  <c r="H27" i="7"/>
  <c r="S26" i="7"/>
  <c r="Q26" i="7"/>
  <c r="H26" i="7"/>
  <c r="S25" i="7"/>
  <c r="H25" i="7"/>
  <c r="R24" i="7"/>
  <c r="S24" i="7" s="1"/>
  <c r="H24" i="7"/>
  <c r="R23" i="7"/>
  <c r="Q23" i="7"/>
  <c r="S23" i="7" s="1"/>
  <c r="P23" i="7"/>
  <c r="H23" i="7"/>
  <c r="R22" i="7"/>
  <c r="Q22" i="7"/>
  <c r="P22" i="7"/>
  <c r="S22" i="7" s="1"/>
  <c r="H22" i="7"/>
  <c r="R21" i="7"/>
  <c r="Q21" i="7"/>
  <c r="S21" i="7" s="1"/>
  <c r="H21" i="7"/>
  <c r="S20" i="7"/>
  <c r="Q20" i="7"/>
  <c r="H20" i="7"/>
  <c r="Q19" i="7"/>
  <c r="S19" i="7" s="1"/>
  <c r="H19" i="7"/>
  <c r="R18" i="7"/>
  <c r="Q18" i="7"/>
  <c r="S18" i="7" s="1"/>
  <c r="P18" i="7"/>
  <c r="H18" i="7"/>
  <c r="R17" i="7"/>
  <c r="Q17" i="7"/>
  <c r="P17" i="7"/>
  <c r="S17" i="7" s="1"/>
  <c r="H17" i="7"/>
  <c r="S16" i="7"/>
  <c r="R16" i="7"/>
  <c r="R32" i="7" s="1"/>
  <c r="H16" i="7"/>
  <c r="Q15" i="7"/>
  <c r="P15" i="7"/>
  <c r="H15" i="7"/>
  <c r="S14" i="7"/>
  <c r="H14" i="7"/>
  <c r="Q13" i="7"/>
  <c r="P13" i="7"/>
  <c r="S13" i="7" s="1"/>
  <c r="H13" i="7"/>
  <c r="Q12" i="7"/>
  <c r="S12" i="7" s="1"/>
  <c r="H12" i="7"/>
  <c r="S11" i="7"/>
  <c r="H11" i="7"/>
  <c r="S10" i="7"/>
  <c r="H10" i="7"/>
  <c r="S9" i="7"/>
  <c r="Q9" i="7"/>
  <c r="H9" i="7"/>
  <c r="P8" i="7"/>
  <c r="H8" i="7"/>
  <c r="S7" i="7"/>
  <c r="H7" i="7"/>
  <c r="S6" i="7"/>
  <c r="H6" i="7"/>
  <c r="S5" i="7"/>
  <c r="H5" i="7"/>
  <c r="S4" i="7"/>
  <c r="H4" i="7"/>
  <c r="O34" i="6"/>
  <c r="N34" i="6"/>
  <c r="M34" i="6"/>
  <c r="R32" i="6"/>
  <c r="Q32" i="6"/>
  <c r="P32" i="6"/>
  <c r="S32" i="6" s="1"/>
  <c r="H32" i="6"/>
  <c r="R31" i="6"/>
  <c r="Q31" i="6"/>
  <c r="S31" i="6" s="1"/>
  <c r="P31" i="6"/>
  <c r="H31" i="6"/>
  <c r="R30" i="6"/>
  <c r="P30" i="6"/>
  <c r="S30" i="6" s="1"/>
  <c r="H30" i="6"/>
  <c r="Q29" i="6"/>
  <c r="M29" i="6"/>
  <c r="S29" i="6" s="1"/>
  <c r="H29" i="6"/>
  <c r="R28" i="6"/>
  <c r="P28" i="6"/>
  <c r="S28" i="6" s="1"/>
  <c r="H28" i="6"/>
  <c r="Q27" i="6"/>
  <c r="S27" i="6" s="1"/>
  <c r="H27" i="6"/>
  <c r="R26" i="6"/>
  <c r="Q26" i="6"/>
  <c r="S26" i="6" s="1"/>
  <c r="M26" i="6"/>
  <c r="H26" i="6"/>
  <c r="Q25" i="6"/>
  <c r="M25" i="6"/>
  <c r="S25" i="6" s="1"/>
  <c r="H25" i="6"/>
  <c r="P24" i="6"/>
  <c r="S24" i="6" s="1"/>
  <c r="H24" i="6"/>
  <c r="R23" i="6"/>
  <c r="P23" i="6"/>
  <c r="S23" i="6" s="1"/>
  <c r="H23" i="6"/>
  <c r="R22" i="6"/>
  <c r="P22" i="6"/>
  <c r="S22" i="6" s="1"/>
  <c r="H22" i="6"/>
  <c r="R21" i="6"/>
  <c r="P21" i="6"/>
  <c r="S21" i="6" s="1"/>
  <c r="H21" i="6"/>
  <c r="S20" i="6"/>
  <c r="Q20" i="6"/>
  <c r="H20" i="6"/>
  <c r="Q19" i="6"/>
  <c r="S19" i="6" s="1"/>
  <c r="H19" i="6"/>
  <c r="S18" i="6"/>
  <c r="H18" i="6"/>
  <c r="S17" i="6"/>
  <c r="Q17" i="6"/>
  <c r="H17" i="6"/>
  <c r="Q16" i="6"/>
  <c r="S16" i="6" s="1"/>
  <c r="H16" i="6"/>
  <c r="S15" i="6"/>
  <c r="H15" i="6"/>
  <c r="S14" i="6"/>
  <c r="H14" i="6"/>
  <c r="S13" i="6"/>
  <c r="H13" i="6"/>
  <c r="S12" i="6"/>
  <c r="H12" i="6"/>
  <c r="R11" i="6"/>
  <c r="Q11" i="6"/>
  <c r="S11" i="6" s="1"/>
  <c r="P11" i="6"/>
  <c r="H11" i="6"/>
  <c r="R10" i="6"/>
  <c r="Q10" i="6"/>
  <c r="P10" i="6"/>
  <c r="S10" i="6" s="1"/>
  <c r="H10" i="6"/>
  <c r="R9" i="6"/>
  <c r="Q9" i="6"/>
  <c r="Q34" i="6" s="1"/>
  <c r="H10" i="1" s="1"/>
  <c r="P9" i="6"/>
  <c r="H9" i="6"/>
  <c r="R8" i="6"/>
  <c r="P8" i="6"/>
  <c r="S8" i="6" s="1"/>
  <c r="H8" i="6"/>
  <c r="R7" i="6"/>
  <c r="P7" i="6"/>
  <c r="S7" i="6" s="1"/>
  <c r="H7" i="6"/>
  <c r="R6" i="6"/>
  <c r="R34" i="6" s="1"/>
  <c r="I10" i="1" s="1"/>
  <c r="P6" i="6"/>
  <c r="P34" i="6" s="1"/>
  <c r="H6" i="6"/>
  <c r="S5" i="6"/>
  <c r="H5" i="6"/>
  <c r="S4" i="6"/>
  <c r="H4" i="6"/>
  <c r="O26" i="5"/>
  <c r="N26" i="5"/>
  <c r="M26" i="5"/>
  <c r="S24" i="5"/>
  <c r="H24" i="5"/>
  <c r="S23" i="5"/>
  <c r="H23" i="5"/>
  <c r="R22" i="5"/>
  <c r="Q22" i="5"/>
  <c r="S22" i="5" s="1"/>
  <c r="H22" i="5"/>
  <c r="S21" i="5"/>
  <c r="Q21" i="5"/>
  <c r="H21" i="5"/>
  <c r="S20" i="5"/>
  <c r="H20" i="5"/>
  <c r="S19" i="5"/>
  <c r="H19" i="5"/>
  <c r="R18" i="5"/>
  <c r="S18" i="5" s="1"/>
  <c r="H18" i="5"/>
  <c r="S17" i="5"/>
  <c r="R17" i="5"/>
  <c r="H17" i="5"/>
  <c r="R16" i="5"/>
  <c r="S16" i="5" s="1"/>
  <c r="H16" i="5"/>
  <c r="R15" i="5"/>
  <c r="Q15" i="5"/>
  <c r="S15" i="5" s="1"/>
  <c r="H15" i="5"/>
  <c r="S14" i="5"/>
  <c r="R14" i="5"/>
  <c r="H14" i="5"/>
  <c r="Q13" i="5"/>
  <c r="S13" i="5" s="1"/>
  <c r="H13" i="5"/>
  <c r="S12" i="5"/>
  <c r="Q12" i="5"/>
  <c r="H12" i="5"/>
  <c r="Q11" i="5"/>
  <c r="S11" i="5" s="1"/>
  <c r="H11" i="5"/>
  <c r="Q10" i="5"/>
  <c r="P10" i="5"/>
  <c r="S10" i="5" s="1"/>
  <c r="H10" i="5"/>
  <c r="S9" i="5"/>
  <c r="R9" i="5"/>
  <c r="H9" i="5"/>
  <c r="R8" i="5"/>
  <c r="S8" i="5" s="1"/>
  <c r="H8" i="5"/>
  <c r="R7" i="5"/>
  <c r="P7" i="5"/>
  <c r="P26" i="5" s="1"/>
  <c r="H7" i="5"/>
  <c r="R6" i="5"/>
  <c r="Q6" i="5"/>
  <c r="Q26" i="5" s="1"/>
  <c r="H9" i="1" s="1"/>
  <c r="P6" i="5"/>
  <c r="H6" i="5"/>
  <c r="O34" i="4"/>
  <c r="N34" i="4"/>
  <c r="M34" i="4"/>
  <c r="S32" i="4"/>
  <c r="H32" i="4"/>
  <c r="S31" i="4"/>
  <c r="H31" i="4"/>
  <c r="R30" i="4"/>
  <c r="Q30" i="4"/>
  <c r="S30" i="4" s="1"/>
  <c r="H30" i="4"/>
  <c r="S29" i="4"/>
  <c r="R29" i="4"/>
  <c r="H29" i="4"/>
  <c r="R28" i="4"/>
  <c r="Q28" i="4"/>
  <c r="S28" i="4" s="1"/>
  <c r="H28" i="4"/>
  <c r="S27" i="4"/>
  <c r="H27" i="4"/>
  <c r="R26" i="4"/>
  <c r="P26" i="4"/>
  <c r="S26" i="4" s="1"/>
  <c r="H26" i="4"/>
  <c r="S25" i="4"/>
  <c r="H25" i="4"/>
  <c r="S24" i="4"/>
  <c r="H24" i="4"/>
  <c r="S23" i="4"/>
  <c r="H23" i="4"/>
  <c r="R22" i="4"/>
  <c r="Q22" i="4"/>
  <c r="S22" i="4" s="1"/>
  <c r="H22" i="4"/>
  <c r="R21" i="4"/>
  <c r="Q21" i="4"/>
  <c r="S21" i="4" s="1"/>
  <c r="H21" i="4"/>
  <c r="R20" i="4"/>
  <c r="Q20" i="4"/>
  <c r="S20" i="4" s="1"/>
  <c r="H20" i="4"/>
  <c r="R19" i="4"/>
  <c r="Q19" i="4"/>
  <c r="S19" i="4" s="1"/>
  <c r="H19" i="4"/>
  <c r="R18" i="4"/>
  <c r="S18" i="4" s="1"/>
  <c r="H18" i="4"/>
  <c r="S17" i="4"/>
  <c r="R17" i="4"/>
  <c r="H17" i="4"/>
  <c r="R16" i="4"/>
  <c r="S16" i="4" s="1"/>
  <c r="H16" i="4"/>
  <c r="S15" i="4"/>
  <c r="Q15" i="4"/>
  <c r="H15" i="4"/>
  <c r="R14" i="4"/>
  <c r="S14" i="4" s="1"/>
  <c r="H14" i="4"/>
  <c r="S13" i="4"/>
  <c r="R13" i="4"/>
  <c r="H13" i="4"/>
  <c r="P12" i="4"/>
  <c r="S12" i="4" s="1"/>
  <c r="H12" i="4"/>
  <c r="S11" i="4"/>
  <c r="P11" i="4"/>
  <c r="H11" i="4"/>
  <c r="Q10" i="4"/>
  <c r="S10" i="4" s="1"/>
  <c r="H10" i="4"/>
  <c r="S9" i="4"/>
  <c r="R9" i="4"/>
  <c r="H9" i="4"/>
  <c r="R8" i="4"/>
  <c r="S8" i="4" s="1"/>
  <c r="H8" i="4"/>
  <c r="S7" i="4"/>
  <c r="H7" i="4"/>
  <c r="S6" i="4"/>
  <c r="H6" i="4"/>
  <c r="S5" i="4"/>
  <c r="Q5" i="4"/>
  <c r="Q34" i="4" s="1"/>
  <c r="H8" i="1" s="1"/>
  <c r="H5" i="4"/>
  <c r="O26" i="3"/>
  <c r="N26" i="3"/>
  <c r="R24" i="3"/>
  <c r="S24" i="3" s="1"/>
  <c r="H24" i="3"/>
  <c r="R23" i="3"/>
  <c r="Q23" i="3"/>
  <c r="S23" i="3" s="1"/>
  <c r="H23" i="3"/>
  <c r="R22" i="3"/>
  <c r="P22" i="3"/>
  <c r="H22" i="3"/>
  <c r="R21" i="3"/>
  <c r="S21" i="3" s="1"/>
  <c r="H21" i="3"/>
  <c r="R20" i="3"/>
  <c r="S20" i="3" s="1"/>
  <c r="H20" i="3"/>
  <c r="Q19" i="3"/>
  <c r="S19" i="3" s="1"/>
  <c r="H19" i="3"/>
  <c r="S18" i="3"/>
  <c r="H18" i="3"/>
  <c r="Q17" i="3"/>
  <c r="S17" i="3" s="1"/>
  <c r="H17" i="3"/>
  <c r="S16" i="3"/>
  <c r="H16" i="3"/>
  <c r="R15" i="3"/>
  <c r="Q15" i="3"/>
  <c r="S15" i="3" s="1"/>
  <c r="H15" i="3"/>
  <c r="R14" i="3"/>
  <c r="Q14" i="3"/>
  <c r="H14" i="3"/>
  <c r="R13" i="3"/>
  <c r="Q13" i="3"/>
  <c r="S13" i="3" s="1"/>
  <c r="H13" i="3"/>
  <c r="R12" i="3"/>
  <c r="Q12" i="3"/>
  <c r="H12" i="3"/>
  <c r="Q11" i="3"/>
  <c r="S11" i="3" s="1"/>
  <c r="H11" i="3"/>
  <c r="R10" i="3"/>
  <c r="Q10" i="3"/>
  <c r="S10" i="3" s="1"/>
  <c r="M10" i="3"/>
  <c r="M26" i="3" s="1"/>
  <c r="H10" i="3"/>
  <c r="R9" i="3"/>
  <c r="S9" i="3" s="1"/>
  <c r="H9" i="3"/>
  <c r="S8" i="3"/>
  <c r="H8" i="3"/>
  <c r="R7" i="3"/>
  <c r="Q7" i="3"/>
  <c r="S7" i="3" s="1"/>
  <c r="H7" i="3"/>
  <c r="R6" i="3"/>
  <c r="Q6" i="3"/>
  <c r="H6" i="3"/>
  <c r="R5" i="3"/>
  <c r="Q5" i="3"/>
  <c r="Q26" i="3" s="1"/>
  <c r="H7" i="1" s="1"/>
  <c r="H5" i="3"/>
  <c r="O19" i="2"/>
  <c r="M19" i="2"/>
  <c r="R17" i="2"/>
  <c r="S17" i="2" s="1"/>
  <c r="H17" i="2"/>
  <c r="S16" i="2"/>
  <c r="Q16" i="2"/>
  <c r="H16" i="2"/>
  <c r="Q15" i="2"/>
  <c r="S15" i="2" s="1"/>
  <c r="H15" i="2"/>
  <c r="R14" i="2"/>
  <c r="Q14" i="2"/>
  <c r="S14" i="2" s="1"/>
  <c r="H14" i="2"/>
  <c r="R13" i="2"/>
  <c r="Q13" i="2"/>
  <c r="S13" i="2" s="1"/>
  <c r="H13" i="2"/>
  <c r="S12" i="2"/>
  <c r="R12" i="2"/>
  <c r="H12" i="2"/>
  <c r="R11" i="2"/>
  <c r="P11" i="2"/>
  <c r="S11" i="2" s="1"/>
  <c r="H11" i="2"/>
  <c r="S10" i="2"/>
  <c r="H10" i="2"/>
  <c r="Q9" i="2"/>
  <c r="S9" i="2" s="1"/>
  <c r="H9" i="2"/>
  <c r="R8" i="2"/>
  <c r="Q8" i="2"/>
  <c r="P8" i="2"/>
  <c r="N8" i="2"/>
  <c r="N19" i="2" s="1"/>
  <c r="E6" i="1" s="1"/>
  <c r="E19" i="1" s="1"/>
  <c r="H8" i="2"/>
  <c r="S7" i="2"/>
  <c r="R7" i="2"/>
  <c r="R19" i="2" s="1"/>
  <c r="I6" i="1" s="1"/>
  <c r="Q7" i="2"/>
  <c r="Q19" i="2" s="1"/>
  <c r="H6" i="1" s="1"/>
  <c r="P7" i="2"/>
  <c r="P19" i="2" s="1"/>
  <c r="H7" i="2"/>
  <c r="S6" i="2"/>
  <c r="H6" i="2"/>
  <c r="S5" i="2"/>
  <c r="H5" i="2"/>
  <c r="H17" i="1"/>
  <c r="F17" i="1"/>
  <c r="E17" i="1"/>
  <c r="D17" i="1"/>
  <c r="F16" i="1"/>
  <c r="E16" i="1"/>
  <c r="D16" i="1"/>
  <c r="H15" i="1"/>
  <c r="F15" i="1"/>
  <c r="E15" i="1"/>
  <c r="D15" i="1"/>
  <c r="H14" i="1"/>
  <c r="F14" i="1"/>
  <c r="E14" i="1"/>
  <c r="D14" i="1"/>
  <c r="I13" i="1"/>
  <c r="F13" i="1"/>
  <c r="E13" i="1"/>
  <c r="D13" i="1"/>
  <c r="F12" i="1"/>
  <c r="E12" i="1"/>
  <c r="D12" i="1"/>
  <c r="I11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F6" i="1"/>
  <c r="F19" i="1" s="1"/>
  <c r="D6" i="1"/>
  <c r="S6" i="3" l="1"/>
  <c r="S12" i="3"/>
  <c r="S14" i="3"/>
  <c r="S22" i="3"/>
  <c r="P26" i="3"/>
  <c r="P28" i="5"/>
  <c r="G9" i="1" s="1"/>
  <c r="J9" i="1" s="1"/>
  <c r="P27" i="5"/>
  <c r="P35" i="6"/>
  <c r="P36" i="6" s="1"/>
  <c r="P20" i="2"/>
  <c r="D7" i="1"/>
  <c r="R29" i="5"/>
  <c r="P35" i="12"/>
  <c r="S8" i="2"/>
  <c r="R26" i="3"/>
  <c r="I7" i="1" s="1"/>
  <c r="P27" i="3"/>
  <c r="P28" i="3" s="1"/>
  <c r="P34" i="4"/>
  <c r="R34" i="4"/>
  <c r="I8" i="1" s="1"/>
  <c r="I19" i="1" s="1"/>
  <c r="S6" i="5"/>
  <c r="S7" i="5"/>
  <c r="R26" i="5"/>
  <c r="I9" i="1" s="1"/>
  <c r="S9" i="6"/>
  <c r="Q32" i="7"/>
  <c r="H11" i="1" s="1"/>
  <c r="H19" i="1" s="1"/>
  <c r="S16" i="8"/>
  <c r="S5" i="10"/>
  <c r="R30" i="10"/>
  <c r="I14" i="1" s="1"/>
  <c r="S16" i="12"/>
  <c r="R34" i="12"/>
  <c r="I16" i="1" s="1"/>
  <c r="S5" i="3"/>
  <c r="S6" i="6"/>
  <c r="P32" i="7"/>
  <c r="S8" i="7"/>
  <c r="S15" i="7"/>
  <c r="P29" i="8"/>
  <c r="S6" i="8"/>
  <c r="R29" i="8"/>
  <c r="I12" i="1" s="1"/>
  <c r="S23" i="8"/>
  <c r="Q24" i="9"/>
  <c r="T9" i="9"/>
  <c r="T12" i="9"/>
  <c r="T17" i="9"/>
  <c r="T20" i="9"/>
  <c r="R24" i="9"/>
  <c r="H13" i="1" s="1"/>
  <c r="P32" i="10"/>
  <c r="P31" i="10"/>
  <c r="S25" i="11"/>
  <c r="S27" i="11"/>
  <c r="P31" i="11"/>
  <c r="Q34" i="12"/>
  <c r="H16" i="1" s="1"/>
  <c r="S19" i="12"/>
  <c r="S22" i="12"/>
  <c r="S25" i="12"/>
  <c r="S6" i="13"/>
  <c r="P20" i="13"/>
  <c r="G10" i="1" l="1"/>
  <c r="J10" i="1" s="1"/>
  <c r="R37" i="6"/>
  <c r="L9" i="1"/>
  <c r="G7" i="1"/>
  <c r="P32" i="11"/>
  <c r="S31" i="11" s="1"/>
  <c r="G14" i="1"/>
  <c r="J14" i="1" s="1"/>
  <c r="R33" i="10"/>
  <c r="Q25" i="9"/>
  <c r="T24" i="9" s="1"/>
  <c r="Q26" i="9"/>
  <c r="P30" i="8"/>
  <c r="S29" i="8" s="1"/>
  <c r="P31" i="8"/>
  <c r="P33" i="7"/>
  <c r="S32" i="7" s="1"/>
  <c r="P34" i="7"/>
  <c r="S34" i="12"/>
  <c r="J7" i="1"/>
  <c r="S19" i="2"/>
  <c r="P22" i="13"/>
  <c r="P21" i="13"/>
  <c r="S20" i="13" s="1"/>
  <c r="S30" i="10"/>
  <c r="S33" i="10" s="1"/>
  <c r="P35" i="4"/>
  <c r="S34" i="4" s="1"/>
  <c r="P36" i="12"/>
  <c r="P21" i="2"/>
  <c r="S26" i="5"/>
  <c r="S29" i="5" s="1"/>
  <c r="S26" i="3"/>
  <c r="D19" i="1"/>
  <c r="S34" i="6"/>
  <c r="S37" i="6" s="1"/>
  <c r="G6" i="1" l="1"/>
  <c r="R22" i="2"/>
  <c r="L7" i="1"/>
  <c r="G11" i="1"/>
  <c r="J11" i="1" s="1"/>
  <c r="L11" i="1" s="1"/>
  <c r="R35" i="7"/>
  <c r="S35" i="7" s="1"/>
  <c r="G12" i="1"/>
  <c r="J12" i="1" s="1"/>
  <c r="L12" i="1" s="1"/>
  <c r="R32" i="8"/>
  <c r="G13" i="1"/>
  <c r="J13" i="1" s="1"/>
  <c r="L13" i="1" s="1"/>
  <c r="S27" i="9"/>
  <c r="T27" i="9" s="1"/>
  <c r="G16" i="1"/>
  <c r="J16" i="1" s="1"/>
  <c r="L16" i="1" s="1"/>
  <c r="R37" i="12"/>
  <c r="P36" i="4"/>
  <c r="S22" i="2"/>
  <c r="S37" i="12"/>
  <c r="S32" i="8"/>
  <c r="L14" i="1"/>
  <c r="P33" i="11"/>
  <c r="G17" i="1"/>
  <c r="J17" i="1" s="1"/>
  <c r="L17" i="1" s="1"/>
  <c r="R23" i="13"/>
  <c r="S23" i="13" s="1"/>
  <c r="L10" i="1"/>
  <c r="G15" i="1" l="1"/>
  <c r="J15" i="1" s="1"/>
  <c r="L15" i="1" s="1"/>
  <c r="R34" i="11"/>
  <c r="S34" i="11" s="1"/>
  <c r="G8" i="1"/>
  <c r="J8" i="1" s="1"/>
  <c r="L8" i="1" s="1"/>
  <c r="R37" i="4"/>
  <c r="S37" i="4" s="1"/>
  <c r="J6" i="1"/>
  <c r="L6" i="1" s="1"/>
  <c r="G19" i="1" l="1"/>
  <c r="I22" i="1" s="1"/>
  <c r="J25" i="1" s="1"/>
</calcChain>
</file>

<file path=xl/sharedStrings.xml><?xml version="1.0" encoding="utf-8"?>
<sst xmlns="http://schemas.openxmlformats.org/spreadsheetml/2006/main" count="2002" uniqueCount="1037">
  <si>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RESUMO DAS DESPESAS COM VIAGENS - 2019</t>
    </r>
    <r>
      <rPr>
        <b/>
        <sz val="14"/>
        <color rgb="FF000000"/>
        <rFont val="Arial"/>
      </rPr>
      <t xml:space="preserve"> </t>
    </r>
  </si>
  <si>
    <t>REEMBOLSO</t>
  </si>
  <si>
    <t>CONTRATO ( LICITAÇÃO )</t>
  </si>
  <si>
    <t>MÊS</t>
  </si>
  <si>
    <t>SITUAÇÃO DAS DESPESAS</t>
  </si>
  <si>
    <t>LOCOMOÇÃO TERRESTRE</t>
  </si>
  <si>
    <t>ALIMENTAÇÃO</t>
  </si>
  <si>
    <t>OUTROS</t>
  </si>
  <si>
    <t xml:space="preserve">LOCOMOÇÃO  ( TÁXI ) </t>
  </si>
  <si>
    <t>VALOR PASSAGENS</t>
  </si>
  <si>
    <t>VALOR HOSPEDAGEM</t>
  </si>
  <si>
    <t>VALOR TOTAL MENSAL</t>
  </si>
  <si>
    <t>JANEIRO</t>
  </si>
  <si>
    <t>FECHADO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</si>
  <si>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</si>
  <si>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</si>
  <si>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</si>
  <si>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</si>
  <si>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</si>
  <si>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</si>
  <si>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</si>
  <si>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</si>
  <si>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</si>
  <si>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</si>
  <si>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</si>
  <si>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ANO</t>
  </si>
  <si>
    <t>TOTAL GERAL</t>
  </si>
  <si>
    <t xml:space="preserve">            PLANILHA ATUALIZA EM: </t>
  </si>
  <si>
    <t>Conferência</t>
  </si>
  <si>
    <r>
      <rPr>
        <b/>
        <sz val="11"/>
        <color theme="1"/>
        <rFont val="Calibri"/>
      </rPr>
      <t>FECHADO</t>
    </r>
    <r>
      <rPr>
        <sz val="11"/>
        <color theme="1"/>
        <rFont val="Calibri"/>
      </rPr>
      <t>: TODAS AS DESPESAS LANÇADAS.</t>
    </r>
  </si>
  <si>
    <r>
      <rPr>
        <b/>
        <sz val="11"/>
        <color theme="1"/>
        <rFont val="Calibri"/>
      </rPr>
      <t>PARCIAL</t>
    </r>
    <r>
      <rPr>
        <sz val="11"/>
        <color theme="1"/>
        <rFont val="Calibri"/>
      </rPr>
      <t>: FALTANDO VALORES Á SEREM LANÇADOS, DEVIDO Á FALTA DE COMPROVANTES.</t>
    </r>
  </si>
  <si>
    <t>EX.: PASSAGENS COMPRADAS EM UM MÊS PARA SEREM REALIZADAS EM OUTRO.</t>
  </si>
  <si>
    <t>A FIM DE GERAR ECONOMIA.</t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</si>
  <si>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JANEIRO 2019</t>
    </r>
  </si>
  <si>
    <t>CONTRATO LICITAÇÃO</t>
  </si>
  <si>
    <t>CONTRATO - LICITAÇÃO</t>
  </si>
  <si>
    <t>QTDE.</t>
  </si>
  <si>
    <t>Nº  SEI - OCULTAR</t>
  </si>
  <si>
    <t>NOME</t>
  </si>
  <si>
    <t>CPF</t>
  </si>
  <si>
    <t>CARGO</t>
  </si>
  <si>
    <t>MOTIVO DA VIAGEM - OCULTAR</t>
  </si>
  <si>
    <t>MOTIVO DA VIAGEM</t>
  </si>
  <si>
    <t>LOCAL</t>
  </si>
  <si>
    <t>PERÍODO</t>
  </si>
  <si>
    <t xml:space="preserve"> LOCOMOÇÃO TERRESTRE</t>
  </si>
  <si>
    <t>VALOR TOTAL</t>
  </si>
  <si>
    <t>23092.209683/2018-10</t>
  </si>
  <si>
    <t>DJACI VIEIRA DE SOUSA</t>
  </si>
  <si>
    <t>635.796.001-25</t>
  </si>
  <si>
    <t>CONSELHEIRO DO CONSELHO DE ADMINISTRAÇÃO</t>
  </si>
  <si>
    <t>REUNIÃO DO CONSELHO DE ADMINISTRAÇÃO DO HCPA.</t>
  </si>
  <si>
    <t xml:space="preserve">BSB X POA X BSB </t>
  </si>
  <si>
    <t>23092.209681/2018-21</t>
  </si>
  <si>
    <t>MANUEL DOS ANJOS MARQUES TEIXEIRA</t>
  </si>
  <si>
    <t>23092.209673/2018-84</t>
  </si>
  <si>
    <t>ANDRÉ LUIZ VALENTE MAYRINK</t>
  </si>
  <si>
    <t>CONSELHEIRO FISCAL</t>
  </si>
  <si>
    <t>REUNIÃO DO CONSELHO FISCAL DO HCPA.</t>
  </si>
  <si>
    <t>23092209674/2018-29</t>
  </si>
  <si>
    <t>WASLEI JOSÉ DA SILVA</t>
  </si>
  <si>
    <t>23092.209676/2018-18</t>
  </si>
  <si>
    <t>FRANCISCO WAYNE MOREIRA</t>
  </si>
  <si>
    <t>23092.200236/2019-86</t>
  </si>
  <si>
    <t>ROSIANI DE SOUZA SILVEIRA</t>
  </si>
  <si>
    <t>ENFERMEIRO DA INTERNAÇÃO PEDIÁTRICA II</t>
  </si>
  <si>
    <t>ACOMPANHAR DESLOCAMENTO DE PACIENTE DO PROGR. REABIL. INTESTINAL (PRICA) E PASSAR ORIENTAÇÕES DE CUIDADOS Á PROFISSIONAIS E FAMILIARES NA CIDADE.</t>
  </si>
  <si>
    <t>POA X PRES. GETÚLIO (SC) X POA</t>
  </si>
  <si>
    <t>23092200327/2019-11</t>
  </si>
  <si>
    <t>PAULO CESAR HUCKEMBECK NUNES</t>
  </si>
  <si>
    <t>CHEFE DA SEÇÃO DE MECÂNICA</t>
  </si>
  <si>
    <t>MINISTRAR TREINAMENTO - Projeto AGHUse - HOSPITAL MILITAR DO EXÉRCITO - MÓDULO DE MANUTENÇÃO.</t>
  </si>
  <si>
    <t>POA X BSB X POA</t>
  </si>
  <si>
    <t>23092.200393/2019-91</t>
  </si>
  <si>
    <t>MARCO AURÉLIO DOS SANTOS ROSA</t>
  </si>
  <si>
    <t>CHEFE SEÇÃO CENTRAL DE MANUT E INF CLIENTE</t>
  </si>
  <si>
    <t>23092.200683/2019-35</t>
  </si>
  <si>
    <t>BETINA FRIZZO PASQUOTTO BRIA</t>
  </si>
  <si>
    <t>FUNCIONÁRIO FUNDAÇÃO MÉDICA RGS</t>
  </si>
  <si>
    <t>CONVÊNIO HCPA/FMSRGS-AGHUse - BNDES - VISTA HOSPITAL UNIVERSITÁRIO JUIZ DE FORA.</t>
  </si>
  <si>
    <t>POA X J. DE FORA X POA</t>
  </si>
  <si>
    <t>23092.200680/2019-00</t>
  </si>
  <si>
    <t>BRUNA HEVELYN FLORES BENTO</t>
  </si>
  <si>
    <t>23092.200628/2019-45</t>
  </si>
  <si>
    <t>NADINE OLIVEIRA CLAUSELL</t>
  </si>
  <si>
    <t>DIRETORA-PRESIDENTE</t>
  </si>
  <si>
    <t>APRESENTAÇÃO AOS SUPERINTENDENTES DOS HUFs, DA NOVA DIRETORIA EXECUTIVA DA EBSERH.</t>
  </si>
  <si>
    <t>23092.200631/2019-69</t>
  </si>
  <si>
    <t>PARTICIPAR DA SOLENIDADE DE INICIO DA NOVA GESTÃO DA EBSERH.</t>
  </si>
  <si>
    <t>23092.200681/2019-46</t>
  </si>
  <si>
    <t>ELIANE TERESINHA BERBIGIER</t>
  </si>
  <si>
    <t>CHEFE DO SERV DE GERENC DAS INFORMAÇÕES SUS</t>
  </si>
  <si>
    <t>MINISTRAR TREINAMENTO - Projeto AGHUse - SESAB - MÓDULO INTERN. ADM. E EMERGÊNCIA ADM.</t>
  </si>
  <si>
    <t>POA X SALVADOR X POA</t>
  </si>
  <si>
    <t>*</t>
  </si>
  <si>
    <t>AGUARDANDO DOCUMENTOS DE COBRANÇA</t>
  </si>
  <si>
    <t>conferência</t>
  </si>
  <si>
    <t>Tx. Adm. Contrato</t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</si>
  <si>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FEVEREIRO 2019</t>
    </r>
    <r>
      <rPr>
        <b/>
        <sz val="14"/>
        <color rgb="FF000000"/>
        <rFont val="Arial"/>
      </rPr>
      <t xml:space="preserve"> </t>
    </r>
  </si>
  <si>
    <t>23092.200801/2019-13</t>
  </si>
  <si>
    <t xml:space="preserve">BETINA FRANCO </t>
  </si>
  <si>
    <t>ENFERMEIRO COMIS PROC ENFERMAGEM III</t>
  </si>
  <si>
    <t>MINISTRAR TREINAMENTO - PROJETO AGHUSE - HOSPITAL MILITAR DO EXÉRCITO - MÓDULO AMBULATÓRIO ADMINISTRATIVO E ASSISTENCIAL .</t>
  </si>
  <si>
    <t>23092.200793/2019-05</t>
  </si>
  <si>
    <t>GIOVANI SOUZA SILVEIRA</t>
  </si>
  <si>
    <t> CHEFE DA SEÇÃO ADM DE AMBULATÓRIO, UBS E SMO</t>
  </si>
  <si>
    <t>23092.200748/2019-42</t>
  </si>
  <si>
    <t>TONI ISMAEL  WICKERT</t>
  </si>
  <si>
    <t>ANALISTA DE NEGÓCIO I</t>
  </si>
  <si>
    <t>23092.200741/2019-21</t>
  </si>
  <si>
    <t>JOSÉ GERALDO LOPES RAMOS</t>
  </si>
  <si>
    <t>378.873.780-87</t>
  </si>
  <si>
    <t>PROFESSOR DE MEDICINA</t>
  </si>
  <si>
    <t>Participar da Reunião da Comissão Científica e Organizadora do V Congresso Abrahue.</t>
  </si>
  <si>
    <t>23092.200837/2019-99</t>
  </si>
  <si>
    <t>MARIA APARECIDA RUFFO MOTTA</t>
  </si>
  <si>
    <t>CHEFE DA SEÇÃO ADM DE UNID E ESPECIALID CIRÚRGICAS.</t>
  </si>
  <si>
    <t>MINISTRAR TREINAMENTO - PROJETO AGHUSE - HOSPITAL MILITAR DO EXÉRCITO - MÓDULOS CIRÚRGIAS ADM E MÉDICO.</t>
  </si>
  <si>
    <t>23092.200840/2019-11</t>
  </si>
  <si>
    <t>JOSÉ RICARDO GUIMARÃES</t>
  </si>
  <si>
    <t>ASSESSOR MÉDICO DE OPERAÇÕES ASSISTENCIAIS - CIRURGIA.</t>
  </si>
  <si>
    <t>23092.200800/2019-61</t>
  </si>
  <si>
    <t>DOMINIC JOHN PAUL BARTER</t>
  </si>
  <si>
    <t>PALESTRANTE - CONVIDADO</t>
  </si>
  <si>
    <r>
      <rPr>
        <sz val="8"/>
        <color rgb="FF000000"/>
        <rFont val="Arial"/>
      </rPr>
      <t>EFETUAR Palestra "</t>
    </r>
    <r>
      <rPr>
        <b/>
        <sz val="8"/>
        <color rgb="FF000000"/>
        <rFont val="Arial"/>
      </rPr>
      <t>COMUNICAÇÃO NÃO VIOLENTA EM AMBIENTE HOSPITALAR"</t>
    </r>
    <r>
      <rPr>
        <sz val="8"/>
        <color rgb="FF000000"/>
        <rFont val="Arial"/>
      </rPr>
      <t>.</t>
    </r>
  </si>
  <si>
    <t>RJ X POA X RJ</t>
  </si>
  <si>
    <t>23092.200757/2019-33</t>
  </si>
  <si>
    <t>VALTER FERREIRA DA SILVA</t>
  </si>
  <si>
    <t>150.410.628-89</t>
  </si>
  <si>
    <t>COORDENADOR DE GESTÃO DA TECNOLOGIA DA INFORMAÇÃO E COMUNICAÇÃO.</t>
  </si>
  <si>
    <t>Visita diagnóstico do Hospital militar para implantação do sistema AGHUse.</t>
  </si>
  <si>
    <t>POA X MANAUS X POA</t>
  </si>
  <si>
    <t>23092.200761/2019-00</t>
  </si>
  <si>
    <t>RENATO FALSARELLA MARTINS MALVEZZI</t>
  </si>
  <si>
    <t>CHEFE DO SERVIÇO DE GESTÃO DE TECNOLOGIA.</t>
  </si>
  <si>
    <t>Visita diagnóstico do Hospital Militar para implantação do sistema AGHUse.</t>
  </si>
  <si>
    <t>23092.200799/2019-74</t>
  </si>
  <si>
    <t>ELENITA TERESINHA CHARÃO CHAGAS</t>
  </si>
  <si>
    <t>CHEFE DO SERVIÇO ADM DE ATENÇÃO CIRÚRGICA.</t>
  </si>
  <si>
    <t>23092.200777/2019-12</t>
  </si>
  <si>
    <t>AMALIA DE FÁTIMA LUCENA</t>
  </si>
  <si>
    <t>PROFESSOR DE ENFERMAGEM.</t>
  </si>
  <si>
    <t>Visita disgnóstico do Hospital Militar para implantação dos Sistema AGHUse.</t>
  </si>
  <si>
    <t>23092.200912/2019-11</t>
  </si>
  <si>
    <t>DIRETORA-PRESIDENTE.</t>
  </si>
  <si>
    <t>Para participar de uma visita  no gabinete do vice-presidente do Brasil, Gen. Hamilton Mourão.</t>
  </si>
  <si>
    <t>23092.200844/2019-91</t>
  </si>
  <si>
    <t>FRANCISCO DE ASSIS FIGUEIREDO</t>
  </si>
  <si>
    <t>758.088.386-49</t>
  </si>
  <si>
    <t>BH X POA X BSB</t>
  </si>
  <si>
    <t>23092.200913/2019-66</t>
  </si>
  <si>
    <t>TÂNIA PROENÇA</t>
  </si>
  <si>
    <t>283.851.280-34</t>
  </si>
  <si>
    <t>CHEFE DO SV DE DIREITO ADM LICIT CONTR E CONVÊNIOS.</t>
  </si>
  <si>
    <t>23092.200845/2019-35</t>
  </si>
  <si>
    <t>23092.201030/2019-73</t>
  </si>
  <si>
    <t>JEZIEL BASSO</t>
  </si>
  <si>
    <t>MEDICO RESIDENTE III - ONCOLOGIA</t>
  </si>
  <si>
    <t>MINISTRAR TREINAMENTO - PROJETO AGHUSE - HOSPITAL MILITAR DO EXÉRCITO - MÓDULOS Sessões Terapêuticas - Quimioterapia.</t>
  </si>
  <si>
    <t>23092.201168/2019-72</t>
  </si>
  <si>
    <t>RUBENS CRISTIANO DIDONÉ DE SOUZA</t>
  </si>
  <si>
    <t>ANALISTA DE NEGÓCIO I.</t>
  </si>
  <si>
    <t>MINISTRAR TREINAMENTO - PROJETO AGHUSE - HOSPITAL MILITAR DO EXÉRCITO - MÓDULO Engenharia.</t>
  </si>
  <si>
    <t>23092.201169/2019-17</t>
  </si>
  <si>
    <t>CHEFE DE SEÇÃO SEÇÃO CENTRAL DE MANUTENÇÃO E INFORMAÇÃO AO CLIENTE.</t>
  </si>
  <si>
    <t>MINISTRAR TREINAMENTO - PROJETO AGHUSE - HOSPITAL MILITAR DO EXÉRCITO - MÓDULO manutenção (Engenharia).</t>
  </si>
  <si>
    <t>23092.200722/2019-02</t>
  </si>
  <si>
    <t>BETINA FRANCO</t>
  </si>
  <si>
    <t>ENFERMEIRO COMIS PROC ENFERMAGEM III.</t>
  </si>
  <si>
    <t>Treinamento  Projeto AGHUse - SESAB -  Módulos da Enfermagem no Processo de  Internação Enfermagem e Emergência Enfermagem.</t>
  </si>
  <si>
    <t>23092.201313/2019-15</t>
  </si>
  <si>
    <t>LÚCIA COELHO DA COSTA NOBRE</t>
  </si>
  <si>
    <t>ADVOGADO TRABALHISTA III.</t>
  </si>
  <si>
    <t>Realizar audiência na Justiça do Trabalho</t>
  </si>
  <si>
    <t>POA X PELOTAS X POA</t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</si>
  <si>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MARÇO 2019</t>
    </r>
    <r>
      <rPr>
        <b/>
        <sz val="14"/>
        <color rgb="FF000000"/>
        <rFont val="Arial"/>
      </rPr>
      <t xml:space="preserve"> </t>
    </r>
  </si>
  <si>
    <t>23092.201368/2019-25</t>
  </si>
  <si>
    <t>CONSELHEIRO DIRETOR</t>
  </si>
  <si>
    <t>Reunião do Conselho Diretor.</t>
  </si>
  <si>
    <t xml:space="preserve">BH X POA X BSB </t>
  </si>
  <si>
    <t>23092.201366/2019-36</t>
  </si>
  <si>
    <t>23092.201363/2019-01</t>
  </si>
  <si>
    <t>Reunião do Conselho Fiscal</t>
  </si>
  <si>
    <t>23092.201360/2019-69</t>
  </si>
  <si>
    <t>Reunião Do Conselho Fiscal.</t>
  </si>
  <si>
    <t>23092.201361/2019-11</t>
  </si>
  <si>
    <t>SEM ASSINATURA</t>
  </si>
  <si>
    <t>23092.201626/2019-73</t>
  </si>
  <si>
    <t>NADINE DE OLIVEIRA CLAUSELL</t>
  </si>
  <si>
    <t>Reunião com o Secretário-Executivo Luiz Antonio Tozi.</t>
  </si>
  <si>
    <t xml:space="preserve">POA X BSB X POA </t>
  </si>
  <si>
    <t>23092.201599/2019-39</t>
  </si>
  <si>
    <t>TÂNIA PINHEIRO PROENÇA</t>
  </si>
  <si>
    <t>CHEFE DO SV DE DIREITO ADM LICIT CONTR E CONVÊNIOS</t>
  </si>
  <si>
    <t>Audiência no Tribunal de Contas da União (TCU),</t>
  </si>
  <si>
    <t>23092.201603/2019-69</t>
  </si>
  <si>
    <t>CASSIANO ARISTIMUNHA DIAS</t>
  </si>
  <si>
    <t>ADVOGADO GERAL I</t>
  </si>
  <si>
    <t>23092.201667/2019-60</t>
  </si>
  <si>
    <t>ALEX VITELMO DA SILVA GUIMARÃES</t>
  </si>
  <si>
    <t>928.881.510-49</t>
  </si>
  <si>
    <t> ANALISTA ADMINISTRATIVO II</t>
  </si>
  <si>
    <r>
      <rPr>
        <sz val="8"/>
        <color rgb="FF000000"/>
        <rFont val="Arial"/>
      </rPr>
      <t>Ministrar Treinamento AGHUse -</t>
    </r>
    <r>
      <rPr>
        <b/>
        <sz val="8"/>
        <color rgb="FF000000"/>
        <rFont val="Arial"/>
      </rPr>
      <t xml:space="preserve"> Hospital Exército</t>
    </r>
    <r>
      <rPr>
        <sz val="8"/>
        <color rgb="FF000000"/>
        <rFont val="Arial"/>
      </rPr>
      <t xml:space="preserve"> - Módulo Sessões Terapêuticas - Quimioterapia</t>
    </r>
  </si>
  <si>
    <t>23092.200778/2019-59</t>
  </si>
  <si>
    <t>GABRIELA REMONATTO</t>
  </si>
  <si>
    <t>FARMACÊUTICO-BIOQUÍMICO DA PATOLOGIA II</t>
  </si>
  <si>
    <r>
      <rPr>
        <sz val="8"/>
        <color rgb="FF000000"/>
        <rFont val="Arial"/>
      </rPr>
      <t>Curso de Aperfeiçoamento: Immunohistochemistry, molecular pathology and histopathology for the diagnosis of infectious diseases, na modalidade presencial.</t>
    </r>
    <r>
      <rPr>
        <sz val="8"/>
        <color rgb="FF000000"/>
        <rFont val="Arial"/>
      </rPr>
      <t> </t>
    </r>
  </si>
  <si>
    <t>POA X RJ X POA</t>
  </si>
  <si>
    <t>23092.200997/2019-38</t>
  </si>
  <si>
    <t>ALINE FERNANDA DOS SANTOS BRUM</t>
  </si>
  <si>
    <t>ANALISTA COMPRADOR II</t>
  </si>
  <si>
    <t>Participação no 14º Congresso Brasileiro de Pregoeiros</t>
  </si>
  <si>
    <t>POA X FOZ DO IGUAÇU X POA</t>
  </si>
  <si>
    <t>23092.201638/2019-06</t>
  </si>
  <si>
    <t>ASSESSOR MÉDICO DE OPERAÇÕES ASSISTENCIAIS - CIRURGIA</t>
  </si>
  <si>
    <r>
      <rPr>
        <sz val="8"/>
        <color rgb="FF000000"/>
        <rFont val="Arial"/>
      </rPr>
      <t xml:space="preserve">Ministrar Treinamento AGHUse -  Módulo Internação e Emergência - Médico - </t>
    </r>
    <r>
      <rPr>
        <b/>
        <sz val="8"/>
        <color rgb="FF000000"/>
        <rFont val="Arial"/>
      </rPr>
      <t>SESAB</t>
    </r>
  </si>
  <si>
    <t>23092.201728/2019-99</t>
  </si>
  <si>
    <t>CHEFE DA SEÇÃO ADM DE UNID E ESPECIALID CIRÚRGICAS</t>
  </si>
  <si>
    <r>
      <rPr>
        <sz val="8"/>
        <color rgb="FF000000"/>
        <rFont val="Arial"/>
      </rPr>
      <t xml:space="preserve">Implantação AGHUse - Hospital Militar do </t>
    </r>
    <r>
      <rPr>
        <b/>
        <sz val="8"/>
        <color rgb="FF000000"/>
        <rFont val="Arial"/>
      </rPr>
      <t>Exército</t>
    </r>
    <r>
      <rPr>
        <sz val="8"/>
        <color rgb="FF000000"/>
        <rFont val="Arial"/>
      </rPr>
      <t xml:space="preserve"> - Módulo Cirurgias.</t>
    </r>
  </si>
  <si>
    <t>23092.201735/2019-91</t>
  </si>
  <si>
    <t>FERNANDO LUTZ</t>
  </si>
  <si>
    <t>ANALISTA DE DESENVOLVIMENTO DE TI I</t>
  </si>
  <si>
    <r>
      <rPr>
        <sz val="8"/>
        <color rgb="FF000000"/>
        <rFont val="Arial"/>
      </rPr>
      <t>Apio à implantação do Módulo de Cirurgias do AGHUse no Hospital Militar do</t>
    </r>
    <r>
      <rPr>
        <b/>
        <sz val="8"/>
        <color rgb="FF000000"/>
        <rFont val="Arial"/>
      </rPr>
      <t xml:space="preserve"> Exército </t>
    </r>
    <r>
      <rPr>
        <sz val="8"/>
        <color rgb="FF000000"/>
        <rFont val="Arial"/>
      </rPr>
      <t>de Área de Brasília</t>
    </r>
  </si>
  <si>
    <t>23092.202021/2019-08</t>
  </si>
  <si>
    <t>CAMILA ZIMMER  DA SILVA</t>
  </si>
  <si>
    <t>FARMACÊUTICO-BIOQ DE DISPENSAÇÃO I</t>
  </si>
  <si>
    <r>
      <rPr>
        <sz val="8"/>
        <color rgb="FF000000"/>
        <rFont val="Arial"/>
      </rPr>
      <t>Ministrar Treinamento AGHUse - Módulo Farmácia - Cadastro de Medicamentos -</t>
    </r>
    <r>
      <rPr>
        <b/>
        <sz val="8"/>
        <color rgb="FF000000"/>
        <rFont val="Arial"/>
      </rPr>
      <t xml:space="preserve"> SESAB</t>
    </r>
  </si>
  <si>
    <t>23092.201963/2019-61</t>
  </si>
  <si>
    <t>GUSTAVO CARTAXO DE LIMA GOSSLING</t>
  </si>
  <si>
    <t>026.754.910-55</t>
  </si>
  <si>
    <t>MEDICO RESIDENTE II - ONCOLOGIA</t>
  </si>
  <si>
    <t>Ministrar Treinamento AGHUse - H M EXÉRCITO - Módulo Sessões Terapêuticas</t>
  </si>
  <si>
    <t>23092.202014/2019-06</t>
  </si>
  <si>
    <t>ANALISTA ADMINISTRATIVO II</t>
  </si>
  <si>
    <t>Implantação AGHUse - Módulo Sessões Terapêuticas</t>
  </si>
  <si>
    <t>23092.201967/2019-49</t>
  </si>
  <si>
    <t>TIAGO BERGAMANN FELINI</t>
  </si>
  <si>
    <t>ANALISTA TI I </t>
  </si>
  <si>
    <t>23092.202061/2019-41</t>
  </si>
  <si>
    <t>NADINE OLIVEIRA CALUSELL</t>
  </si>
  <si>
    <t>Para participar de uma reunião com o Secretário de Coordenação e Governança das Empresas Estatais (SEST/SEDD/ME) .</t>
  </si>
  <si>
    <t>23092.202072/2019-21</t>
  </si>
  <si>
    <t>ROSELI FÁTIMA ARMILIATTO BORTOLUZZI</t>
  </si>
  <si>
    <t>ASSESSOR DE ASSUNTOS INSTITUCIONAIS</t>
  </si>
  <si>
    <t>Reunião no Ministério da Economia - SEST.</t>
  </si>
  <si>
    <t>23092.202064/2019-85</t>
  </si>
  <si>
    <t>JAIRO HENRIQUE GONÇALVES</t>
  </si>
  <si>
    <t>COORDENADOR JURIDICO</t>
  </si>
  <si>
    <t>23092.202079/2019-43</t>
  </si>
  <si>
    <t>NEIVA TERESINHA FINATO</t>
  </si>
  <si>
    <t>474.686.370-91</t>
  </si>
  <si>
    <t>COORDENADOR  DE GESTÃO CONTÁBIL</t>
  </si>
  <si>
    <t>Trabalho de assessoria a Coordenação de Contabilidade da EBSERH.</t>
  </si>
  <si>
    <t>00091.202073/2019-81</t>
  </si>
  <si>
    <t>JORGE LUIS BAJERSKI</t>
  </si>
  <si>
    <t>417.433.770-53</t>
  </si>
  <si>
    <t>DIRETOR ADMINISTRATIVO</t>
  </si>
  <si>
    <t>Reunião com o Secretário de Coordenação e Governança das Empresas Estatais. </t>
  </si>
  <si>
    <t>23092.202171/2019-11</t>
  </si>
  <si>
    <t>ANA PAULA DELIBERAL</t>
  </si>
  <si>
    <t>FARMACÊUTICO-BIOQUIMICO I</t>
  </si>
  <si>
    <t>Ministrar Treinamento Módulo Farmácia - Projeto AGHUse - Hospital do Exército Brasília.</t>
  </si>
  <si>
    <t>BH X BSB X POA</t>
  </si>
  <si>
    <t>23092.202385/2019-80</t>
  </si>
  <si>
    <t>LUANA BAPTISTA RODRIGUES PIRES</t>
  </si>
  <si>
    <t>CHEFE DO SERVIÇO DE COMPRAS</t>
  </si>
  <si>
    <t>Ministrar Treinamento Módulo Compras - Projeto AGHUse - Hospital do Exército Brasília.</t>
  </si>
  <si>
    <t>23092.202259/2019-25</t>
  </si>
  <si>
    <t>LUCIANA CAMPOS DOS SANTOS</t>
  </si>
  <si>
    <t> CHEFE DA SEÇÃO DE GRÁFICA E DOCUMENTAÇÃO</t>
  </si>
  <si>
    <t>Ministrar Treinamento Módulo Estoque - Projeto AGHUse - Hospital do Exército Brasília.</t>
  </si>
  <si>
    <t>23092.202350/2019-41</t>
  </si>
  <si>
    <t>MARTA NASSIF PEREIRA LIMA</t>
  </si>
  <si>
    <t>CHEFE DA UNIDADE DE RADIOTERAPIA</t>
  </si>
  <si>
    <t>Reunião no Ministério da Saúde - Plano de Expansão da Radioterapia SUS  (discussão e deliberar sobre os procedimentos adequados para a prestação efetiva das manutenções preventivas e corretivas dos equipamentos que compõem a solução de radioterapia)</t>
  </si>
  <si>
    <t>23092.202400/2019-90</t>
  </si>
  <si>
    <t>LUCIANO RIBEIRO</t>
  </si>
  <si>
    <t>CHEFE DO SERVIÇO DE ENGENHARIA CLÍNICA</t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</si>
  <si>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ABRIL 2019</t>
    </r>
    <r>
      <rPr>
        <b/>
        <sz val="14"/>
        <color rgb="FF000000"/>
        <rFont val="Arial"/>
      </rPr>
      <t xml:space="preserve"> </t>
    </r>
  </si>
  <si>
    <t>23092.202486/2019-51</t>
  </si>
  <si>
    <t>LUCIANE DOS REIS FRANCISCO</t>
  </si>
  <si>
    <t>CHEFE DO SERVIÇO ADM AUX AO DIAGNÓSTICO E TERAPIA</t>
  </si>
  <si>
    <t>Ministrar Treinamento Treinamento AGHUse Hospital do Exército - Módulos Exames - Imagens</t>
  </si>
  <si>
    <t>23092.202595/2019-78</t>
  </si>
  <si>
    <t>LUIS EVERALDO DE VARGAS FREITAS</t>
  </si>
  <si>
    <t>CHEFE DA UNID APOIO A TECNOL DA INFORMAÇÃO</t>
  </si>
  <si>
    <t>23092.202573/2019-16</t>
  </si>
  <si>
    <t>ALEXANDRE CAIRO</t>
  </si>
  <si>
    <t>PROCURADOR GERAL DA FAZENDA NACIONAL</t>
  </si>
  <si>
    <t>ASSEMBLEIA GERAL EXTRAORDINÁRIA E ORDINÁRIA</t>
  </si>
  <si>
    <t>BSB X POA X BSB</t>
  </si>
  <si>
    <t>23092.202580/2019-18</t>
  </si>
  <si>
    <t>23092.202035/2019-13</t>
  </si>
  <si>
    <t>FLÁVIO DE MEDEIROS HORTA</t>
  </si>
  <si>
    <t>496.432.230-00</t>
  </si>
  <si>
    <t>ANALISTA DE AUDITORIA I</t>
  </si>
  <si>
    <t>Participar do Seminário Nacional Fiscalização e Gerenciamento dos Contratos de Obras Públicas, que será realizado em Florianópolis - SC, em 08 e 09 de abril de 2019.</t>
  </si>
  <si>
    <t>POA X FLORIANÓPOLIS X POA</t>
  </si>
  <si>
    <t>23092.202614/2019-66</t>
  </si>
  <si>
    <t>REUNIÃO DO CONSELHO DIRETOR</t>
  </si>
  <si>
    <t>23092.202610/2019-88</t>
  </si>
  <si>
    <t>23092.202612/2019-77</t>
  </si>
  <si>
    <t>23092.202759/2019-67</t>
  </si>
  <si>
    <t>SILVIA REGINA GRALHA</t>
  </si>
  <si>
    <t>MINISTRAR TREINAMENTO - Projeto AGHUse - SESAB - MÓDULO INTERN. ADM. E ASSISTENCIAL.</t>
  </si>
  <si>
    <t>23092.202787/2019-84</t>
  </si>
  <si>
    <t>23092.202807/2019-17</t>
  </si>
  <si>
    <t>23092.202915/2019-90</t>
  </si>
  <si>
    <t>COORDENADOR DE GESTÃO DA TECNOLOGIA DA INFORMAÇÃO E COMUNICAÇÃO</t>
  </si>
  <si>
    <t>Reunião com Diretoria da EBSERH sobre o sistema AGHUse</t>
  </si>
  <si>
    <t>23092.202917/2019-89</t>
  </si>
  <si>
    <t>CHEFE DO SERVIÇO DE GESTÃO DE TECNOLOGIA</t>
  </si>
  <si>
    <t>23092.202549/2019-79</t>
  </si>
  <si>
    <t>ALEXANDRE BACELAR</t>
  </si>
  <si>
    <t>CHEFE DO SERVIÇO DE FÍSICA MÉDICA E RADIOPROTEÇÃO</t>
  </si>
  <si>
    <t>Participação no I Simpósio sobre Exposição Ocupacional a Radiações Ionizantes no Brasil</t>
  </si>
  <si>
    <t>POA X SP X POA</t>
  </si>
  <si>
    <t>23092.202540/2019-68</t>
  </si>
  <si>
    <t>COORDENADOR DO GRUPO DE ENSINO</t>
  </si>
  <si>
    <t>Representar o HCPA na Assembleia Geral Ordinária - AGO da Abrahue,</t>
  </si>
  <si>
    <t>23092.203411/2019-97</t>
  </si>
  <si>
    <t>CRISTINA DOLORES DE CARVALHO AMORIM</t>
  </si>
  <si>
    <t>CONVIDADO EBSERH</t>
  </si>
  <si>
    <t>Participar de reunião sobre Custos Hospitalares junto ao Grupo de Trabalho de Custos, como especialista na área visando um relato de experiência e troca de informações, no período de 29 a 30 de abril de 2019.</t>
  </si>
  <si>
    <t>23092.203410/2019-42</t>
  </si>
  <si>
    <t>ALEXANDRE DOS SANTOS SILVA</t>
  </si>
  <si>
    <t>23092.203473/2019-07</t>
  </si>
  <si>
    <t>JOÃO BATISTA FLORENTINO</t>
  </si>
  <si>
    <t>CONVIDADO HOSP. CLÍNICAS DE SÃO PAULO</t>
  </si>
  <si>
    <t>Participar de reunião sobre Custos Hospitalares junto ao Grupo de Trabalho de Custos, como especialista na área visando um relato de experiência e troca de informações, na data  de 30 de abril de 2019.</t>
  </si>
  <si>
    <t>SP X POA X SP</t>
  </si>
  <si>
    <t>23092.203474/2019-43</t>
  </si>
  <si>
    <t>ROSELI PEREIRA DA SILVA</t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</si>
  <si>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MAIO 2019</t>
    </r>
  </si>
  <si>
    <t>23092.202674/2019-89</t>
  </si>
  <si>
    <t>VITOR PELEGRIM DE OLIVEIRA</t>
  </si>
  <si>
    <t xml:space="preserve">MÉDICO </t>
  </si>
  <si>
    <t>PARTICIPAÇÃO HOSPITAL SUMMIT 2019</t>
  </si>
  <si>
    <t>23092.202577/2019-96</t>
  </si>
  <si>
    <t>ANA PAULA COUTINHO</t>
  </si>
  <si>
    <t>ASSESSOR ADJUNTO EXECUTIVO</t>
  </si>
  <si>
    <t>HEALTH COSTS SUMMIT</t>
  </si>
  <si>
    <t>23092.202790/2019-06</t>
  </si>
  <si>
    <t>GUILHERME LEAL CÂMARA</t>
  </si>
  <si>
    <t>COORDENADORIA DE GESTÃO DE AUDITORIA INTERNA</t>
  </si>
  <si>
    <t>Participação no 50º FONAITec</t>
  </si>
  <si>
    <t>MARCELO AUGUSTO DE SOUZA BEZERRA</t>
  </si>
  <si>
    <t>ANALISTA DE AUDITORIA</t>
  </si>
  <si>
    <t>23092.203301/2019-25</t>
  </si>
  <si>
    <t>Treinamento AGHUse - Módulos Exames </t>
  </si>
  <si>
    <t>23092.203192/2019-46</t>
  </si>
  <si>
    <t>Treinamento AGHUse - Módulo Exames Laboratoriais e Implantação AGHUse - Módulo Exames Imagens</t>
  </si>
  <si>
    <t>23092.203282/2019-37</t>
  </si>
  <si>
    <t>JANAINA RIBEIRO DE ALMEIDA</t>
  </si>
  <si>
    <t>23092.203529/2019-15</t>
  </si>
  <si>
    <t>MÁRCIA ROSANE PIRES</t>
  </si>
  <si>
    <t>ENF DO CONTR INFEC HOSP III</t>
  </si>
  <si>
    <t>Ministrar Treinamento AGHuse , módulo CCIH, hospital Militar área Brasilia</t>
  </si>
  <si>
    <t>00091.203249/2019-11</t>
  </si>
  <si>
    <t>LISIANE MANGANELLI GIRARDI PASKULIN</t>
  </si>
  <si>
    <t>PROFESSOR DE ENFERMAGEM</t>
  </si>
  <si>
    <t>Participar do evento: Hospital Summit 2019 - ANAHP</t>
  </si>
  <si>
    <t>00091.204101/2019-02</t>
  </si>
  <si>
    <t>Visita Técnica ao Núcleo Avançado de Geriatria do Hospital Sírio-Libanês</t>
  </si>
  <si>
    <t>23092.202891/2019-79</t>
  </si>
  <si>
    <t>ADRIANA REGINA CANDATEN</t>
  </si>
  <si>
    <t>ANALISTA DE OUVIDORIA II</t>
  </si>
  <si>
    <t>Participação na 4ª SEMANA DE OUVIDORIA E ACESSO À INFORMAÇÃO/CGU</t>
  </si>
  <si>
    <t>VERA MARIA BRUXEL</t>
  </si>
  <si>
    <t>ENFERMEIRA DA OUVIDORIA</t>
  </si>
  <si>
    <t>23092.202628/2019-80</t>
  </si>
  <si>
    <t>ARIANE NÁDIA BACKES</t>
  </si>
  <si>
    <t>MÉDICO CIRURGIÃO PEDIÁTRICO PLANTONISTA II</t>
  </si>
  <si>
    <t>Estágio em Transplante Intestinal e Multivisceral, com o objetivo de formar profissional para realização desses procedimentos no HCPA. Além da identificação de processos de trabalho e da utilização de insumos e de serviços inerentes a esses procedimento. Objetivando definir a infraestrutura , os insumos e serviços a serem disponibilizados no HCPA, para realização de transplante intestinal e transplante multivisceral no Hospital de Clínicas no período de 2019-2021.</t>
  </si>
  <si>
    <t>POA X MIAMI X POA</t>
  </si>
  <si>
    <t>Jun á Dez</t>
  </si>
  <si>
    <t>23092.203456/2019-61</t>
  </si>
  <si>
    <t>HELENA AYAKO SUENO GOLDANI</t>
  </si>
  <si>
    <t>CHEFE DO SERVIÇO DE PEDIATRIA</t>
  </si>
  <si>
    <t>Participação no CIRTA/2019 - contribuirá para a capacitação da equipe assistencial,  visando melhorias no atendimentos dos pacientes com falência intestinal,  assim como também, contribuirá para a divulgação institucional  em âmbito internacional.</t>
  </si>
  <si>
    <t>POA X PARIS X POA</t>
  </si>
  <si>
    <t>JUN/JUL</t>
  </si>
  <si>
    <t>23092.202806/2019-72</t>
  </si>
  <si>
    <t>MARILIA ROSSO CEZA</t>
  </si>
  <si>
    <t>MÉDICO PEDIATRA DE GASTRO E HEPATOLOGIA I</t>
  </si>
  <si>
    <t>23092.203194/2019-35</t>
  </si>
  <si>
    <t>SIMONE BOETTCHER</t>
  </si>
  <si>
    <t>ENFERMEIRO DA INTERNAÇÃO PEDIÁTRICA I</t>
  </si>
  <si>
    <t>23092.203914/2019-62</t>
  </si>
  <si>
    <t>BH X POA X SP</t>
  </si>
  <si>
    <t>23092.204208/2019-38</t>
  </si>
  <si>
    <t>FRANCINE HEHN DE OLIVEIRA</t>
  </si>
  <si>
    <t>CHEFE DE UNID DA ÁREA MÉDICA - PROFESSOR</t>
  </si>
  <si>
    <t>Ministrar Treinamento módulo Exames - Patologia Cirúrgica.</t>
  </si>
  <si>
    <t>23092.203963/2019-03</t>
  </si>
  <si>
    <t>SIMONE DALLA POZZA MAHMUD</t>
  </si>
  <si>
    <t>COORDENADORA DE SUPRIMENTOS</t>
  </si>
  <si>
    <t>Participação na Feira Hospitalar 2019</t>
  </si>
  <si>
    <t>23092.204139/2019-62</t>
  </si>
  <si>
    <t>PATRICE MARTINS AUGUSTO</t>
  </si>
  <si>
    <t>CHEFE DO SERVIÇO ADM DE CLIENTES INSTITUCIONAIS</t>
  </si>
  <si>
    <t>Ministrar Treinamento do Módulo de Faturamento de Convênios e Particulares - Projeto AGHUse - Exército</t>
  </si>
  <si>
    <t>23092.204143/2019-21</t>
  </si>
  <si>
    <t>ALINE RODRIGUES VIEIRA</t>
  </si>
  <si>
    <t>SUPERVISOR DE FATURAMENTO CONV. E PARTICULARES</t>
  </si>
  <si>
    <t>23092.204103/2019-89</t>
  </si>
  <si>
    <t>LÚCIA CAYE</t>
  </si>
  <si>
    <t> ANALISTA DE NEGÓCIO III</t>
  </si>
  <si>
    <t>Reunião do Comitê Estratégico da Comunidade AGHUse</t>
  </si>
  <si>
    <t>23092.204172/2019-92</t>
  </si>
  <si>
    <t>JOSÉ RICARDO GUIMARÂES</t>
  </si>
  <si>
    <t>23092.204339/2019-15</t>
  </si>
  <si>
    <t>23092.203383/2019-16</t>
  </si>
  <si>
    <t>Participação no 2º Encontro Nacional das Estatais</t>
  </si>
  <si>
    <t>23092.204308/2019-64</t>
  </si>
  <si>
    <t>Troca de experiências globais no seminário A SUSTENTABILIDADE DO SISTEMA DE SAÚDE DO BRASIL</t>
  </si>
  <si>
    <t>23092.204487/2019-30</t>
  </si>
  <si>
    <t>LUCIANE CAMILLO MAGALHÃES</t>
  </si>
  <si>
    <t>CHEFE DE SERVIÇO DE PLANEJAMENTO E SUPRIMENTOS</t>
  </si>
  <si>
    <t>Participar De Seminário de Compras Públicas Centralizadas - ENAP Brasilia</t>
  </si>
  <si>
    <t>23092.204732/2019-17</t>
  </si>
  <si>
    <t>AGHUSE - Implantação Exames Laboratoriais no HMAB</t>
  </si>
  <si>
    <t>23092.204706/2019-81</t>
  </si>
  <si>
    <t>LUIZ FERNANDO BOHM</t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</si>
  <si>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JUNHO 2019</t>
    </r>
  </si>
  <si>
    <t>23092.204598/2019-46</t>
  </si>
  <si>
    <t>Participar do 2º Encontro BB Previdência com Patrocinadores e Instituidores.</t>
  </si>
  <si>
    <t>23092.204622/2019-47</t>
  </si>
  <si>
    <t>Treinamento AGHUse - Projeto AGHUse - Módulo Assistencial Enfermagem</t>
  </si>
  <si>
    <t>POA X CAMPINAS X POA</t>
  </si>
  <si>
    <t>23092.204596/2019-57</t>
  </si>
  <si>
    <t>Treinamento Internação Assistencial - Médico</t>
  </si>
  <si>
    <t>23092.204412/2019-59</t>
  </si>
  <si>
    <t>CONSELHEIRO DE ADMINISTRAÇÃO</t>
  </si>
  <si>
    <t>REUNIÃO DO CONSELHO DE ADMINISTRAÇÃO</t>
  </si>
  <si>
    <t>23092.204668/2019-66</t>
  </si>
  <si>
    <t>Ministrar Treinamento AGHuse - Unicamp</t>
  </si>
  <si>
    <t>23092.204411/2019-12</t>
  </si>
  <si>
    <t>REUNIÃO DO CONSELHO DE ADMINISTRAÇÃO e TREINAMENTO DOS CONSELHEIROS.</t>
  </si>
  <si>
    <t>23092.204912/2019-91</t>
  </si>
  <si>
    <t>CESAR LUIZ BOGUSZEWSKI</t>
  </si>
  <si>
    <t>PALESTRANTE CONVIDADO</t>
  </si>
  <si>
    <t>Participar do Grand Round - Uso e abuso de GH da Criança e do Idoso.</t>
  </si>
  <si>
    <t>CURITIBA X POA X CURITIBA</t>
  </si>
  <si>
    <t>23092.204718/2019-13</t>
  </si>
  <si>
    <t>ARIOSTO ANTUNES CULAU</t>
  </si>
  <si>
    <t>579.835.000-25</t>
  </si>
  <si>
    <t>23092.205012/2019-61</t>
  </si>
  <si>
    <t>CHEFE DO SERVIÇO DE DIREITO ADMINISTRATIVO, LICITAÇÕES CONTRATOS E CONVÊNIOS</t>
  </si>
  <si>
    <t>REUNIAO COM PARTES E REPRESENTANTES DO PROCESSO 15.2017.4.03.6100 9ª VF DE SÃO PAULO</t>
  </si>
  <si>
    <t>ADVOGADO</t>
  </si>
  <si>
    <t>23092.205112/2019-97</t>
  </si>
  <si>
    <t>DIRETORA - PRESIDENTE</t>
  </si>
  <si>
    <t>Reunião no Ministério do Planejamento</t>
  </si>
  <si>
    <t>23092.204958/2019-18</t>
  </si>
  <si>
    <t>COORDENADOR JURÍDICO</t>
  </si>
  <si>
    <t>23092.205096/2019-32</t>
  </si>
  <si>
    <t>23092.205094/2019-43</t>
  </si>
  <si>
    <t>LIGIA VENTURA</t>
  </si>
  <si>
    <t>COORDENADORA GESTÃO DE PESSOAS</t>
  </si>
  <si>
    <t>Reunião no Ministério do Planejamento para assuntos de folha de pagamento</t>
  </si>
  <si>
    <t>23092.205125/2019-66</t>
  </si>
  <si>
    <t>JAIR MARCELO CORDEIRO DOS SANTOS</t>
  </si>
  <si>
    <t>CHEFE DO SERVIÇO ADMINISTR DE PESSOAL</t>
  </si>
  <si>
    <t>23092.205102/2019-51</t>
  </si>
  <si>
    <t>PETER TSCHEDANTZEW NETO</t>
  </si>
  <si>
    <r>
      <rPr>
        <sz val="8"/>
        <color rgb="FF000000"/>
        <rFont val="Arial"/>
      </rPr>
      <t>ANALISTA DE NEGÓCIO I</t>
    </r>
    <r>
      <rPr>
        <sz val="8"/>
        <color rgb="FFFF0000"/>
        <rFont val="Arial"/>
      </rPr>
      <t xml:space="preserve"> (cancelada)</t>
    </r>
  </si>
  <si>
    <t>Treinamento AGHUse - Módulo Exames e Implantação AGHUse - Módulo Patologia Cirúrgica</t>
  </si>
  <si>
    <t>23092.205169/2019-96</t>
  </si>
  <si>
    <r>
      <rPr>
        <sz val="8"/>
        <color rgb="FF000000"/>
        <rFont val="Arial"/>
      </rPr>
      <t xml:space="preserve">Professor - Chefe de Unidade  </t>
    </r>
    <r>
      <rPr>
        <sz val="8"/>
        <color rgb="FFFF0000"/>
        <rFont val="Arial"/>
      </rPr>
      <t>(cancelada)</t>
    </r>
  </si>
  <si>
    <t> Projeto AGHUse - Exército Brasileiro</t>
  </si>
  <si>
    <t>23092.204800/2019-30</t>
  </si>
  <si>
    <t>TATIANA PRADE HEMESATH</t>
  </si>
  <si>
    <t>PSICÓLOGO HOSPITALAR CLÍNICO PEDIÁTRICO II</t>
  </si>
  <si>
    <t>PARTICIPAR DO CURSO BAYLEY III</t>
  </si>
  <si>
    <t>23092.205204/2019-77</t>
  </si>
  <si>
    <t>Implantação módulo CCIH AGHuse</t>
  </si>
  <si>
    <t>23092.205276/2019-14</t>
  </si>
  <si>
    <t>TIAGO BERGMANN FELINI</t>
  </si>
  <si>
    <t>ANALISTA DE TI I</t>
  </si>
  <si>
    <t>Implantação do sistema AGHUse, módulo CCIH no HMAB (Hospital Militar de Área Urbana). Como consultor técnico da área de TI</t>
  </si>
  <si>
    <t>23092.205182/2019-45</t>
  </si>
  <si>
    <t>COORD DE GESTÃO TECNOL INFORMAÇÃO</t>
  </si>
  <si>
    <t>Reunião com a Empresa Capgemini Brasil S/A e participação no IT Fórum+.</t>
  </si>
  <si>
    <t>23092.205097/2019-87</t>
  </si>
  <si>
    <t>CAMILA ZIMMER DA SILVA</t>
  </si>
  <si>
    <t>Treinamento AGHUse UNICAMP - Casdastro de Medicamentos (módulo farmácia)</t>
  </si>
  <si>
    <t>23092.204557/2019-50</t>
  </si>
  <si>
    <t>MAURICIO LESER CASELLA</t>
  </si>
  <si>
    <t>SUPERVISOR DE PATRIMONIO</t>
  </si>
  <si>
    <t>Participação no 8º Simpósio do SIADS</t>
  </si>
  <si>
    <t>23092.205131/2019-13</t>
  </si>
  <si>
    <t>PAULO RENATO COLPO MARCHESAN</t>
  </si>
  <si>
    <t>596668947 - Passaporte USA</t>
  </si>
  <si>
    <t>Palestrar no evento Liderando a Transformação da Cultura</t>
  </si>
  <si>
    <t>MIAMI X POA X MIAMI</t>
  </si>
  <si>
    <t>23092.205374/2019-51</t>
  </si>
  <si>
    <t>LEILA BELTRAMI MOREIRA</t>
  </si>
  <si>
    <t>Representar a Instituição como Coordenadora do Curso de Mestrado Profissional em Pesquisa Clínica, no Seminário de Meio Termo dos programas de pós-graduação da área de Medicina I, será realizado na CAPES</t>
  </si>
  <si>
    <t>23092.205442/2019-82</t>
  </si>
  <si>
    <t>LUIS FERNANDO DA ROSA RIVERO</t>
  </si>
  <si>
    <t>CHEFE DO SERVIÇO DE PATOLOGIA</t>
  </si>
  <si>
    <t>Audiência na 6ª Vara Cível Especializada em Fazenda Pública - Poder Judiciário. </t>
  </si>
  <si>
    <t>23092.205433/2019-91</t>
  </si>
  <si>
    <t>MAURO ALMEIDA DE BARROS</t>
  </si>
  <si>
    <t>ADVOGADO II</t>
  </si>
  <si>
    <t>Audiência judicial processo 90060546820188210022, de interesse do HCPA</t>
  </si>
  <si>
    <r>
      <rPr>
        <b/>
        <sz val="14"/>
        <color rgb="FF000000"/>
        <rFont val="Arial"/>
      </rPr>
      <t xml:space="preserve">SIC - </t>
    </r>
    <r>
      <rPr>
        <sz val="14"/>
        <color rgb="FF000000"/>
        <rFont val="Arial"/>
      </rPr>
      <t>RELAÇÃO DE VIAGENS  - JULHO 2019</t>
    </r>
    <r>
      <rPr>
        <b/>
        <sz val="14"/>
        <color rgb="FF000000"/>
        <rFont val="Arial"/>
      </rPr>
      <t xml:space="preserve"> </t>
    </r>
  </si>
  <si>
    <t>23092.205648/2019-11</t>
  </si>
  <si>
    <t>BEATRIZ FATIMA PEREIRA GUARAGNA.</t>
  </si>
  <si>
    <t>CHEFE DA UNID DE QUIMIO, RADIOT E HOSPITAL DIA.</t>
  </si>
  <si>
    <t>Visita de benchmarking aos  hospitais ICESP e AC Camargo</t>
  </si>
  <si>
    <t>23092.205650/2019-81</t>
  </si>
  <si>
    <t>ANA PAULA WUNDER.</t>
  </si>
  <si>
    <t>ENFERMEIRO DA QUIMIOTERAPIA II.</t>
  </si>
  <si>
    <t>23092.205638/2019-77</t>
  </si>
  <si>
    <t>IEDA MARIA NASCIMENTO.</t>
  </si>
  <si>
    <t>ASSISTENTE SOCIAL II.</t>
  </si>
  <si>
    <t>Visita aos hospitais Instituto do Câncer do Estado de São Paulo (ICESP) e AC Camargo para benchmarking.</t>
  </si>
  <si>
    <t>23092.205634/2019-99</t>
  </si>
  <si>
    <t>FLAVIA CASTRO DE MELLO</t>
  </si>
  <si>
    <t>ARQUITETO I</t>
  </si>
  <si>
    <t>Viagem a serviço para conhecer as áreas de oncologia dos Hospitais ICESP e AC Camargo em São Paulo, com o objetivo de trazer informações para o Projeto do Centro Integrado de Oncologia do 4o pavimento do Bloco C (Anexo II).</t>
  </si>
  <si>
    <t>23092.205637/2019-22</t>
  </si>
  <si>
    <t>FABIANA SOUZA OLAVES</t>
  </si>
  <si>
    <t>CHEFE DA SEÇÃO ADM DE UNID E ESPEC ONCOLÓGICAS.</t>
  </si>
  <si>
    <t>Visita de Benchmarking aos hospitais ICESP e A.C Camargo</t>
  </si>
  <si>
    <t>23092.205660/2019-17</t>
  </si>
  <si>
    <t>MARCELO ROSSONI DA ROCHA</t>
  </si>
  <si>
    <t>BOLSISTA</t>
  </si>
  <si>
    <t>participação no XIII Congresso Brasileiro de Medicina de Tráfego II Congresso Brasileiro de Psicologia de Tráfego  - Projeto SENAD - TED 05/18 Simulador de Trânsito</t>
  </si>
  <si>
    <t>23092.205681/2019-32</t>
  </si>
  <si>
    <t>JULIA PAIM  DA LUZ</t>
  </si>
  <si>
    <t>Pesquisadora</t>
  </si>
  <si>
    <t>23092.205701/2019-75</t>
  </si>
  <si>
    <t>LUANA DA SILVEIRA GROSS</t>
  </si>
  <si>
    <t>23092.205692/2019-12</t>
  </si>
  <si>
    <t>LETÍCIA SCHWANCK FARA MARCHI</t>
  </si>
  <si>
    <t>23092.205700/2019-21</t>
  </si>
  <si>
    <t>DAIANE NICOLI SILVELLO DOS SANTOS FERRIERA</t>
  </si>
  <si>
    <t>23092.205703/2019-64</t>
  </si>
  <si>
    <t>THOMAS BROWN</t>
  </si>
  <si>
    <t>HH597880 - PASSAPORTE CANADÁ</t>
  </si>
  <si>
    <t>CONSULTOR</t>
  </si>
  <si>
    <t>Desempenhará consultoria para as atividades do Laboratório de Simulação do Trânsito (treinamento da equipe, desenvolvimento de protocolos e análise de dados) </t>
  </si>
  <si>
    <t>Montreal x POA x Montreal</t>
  </si>
  <si>
    <t>set/out-19</t>
  </si>
  <si>
    <t>23092.205887/2019-62</t>
  </si>
  <si>
    <r>
      <rPr>
        <sz val="8"/>
        <color rgb="FF000000"/>
        <rFont val="Arial"/>
      </rPr>
      <t>ANALISTA DE NEGÓCIO I</t>
    </r>
    <r>
      <rPr>
        <sz val="8"/>
        <color rgb="FFFF0000"/>
        <rFont val="Arial"/>
      </rPr>
      <t xml:space="preserve"> </t>
    </r>
  </si>
  <si>
    <t>PROFESSOR CHEFE-UNIDADE</t>
  </si>
  <si>
    <t>23092.205875/2019-38</t>
  </si>
  <si>
    <t>DANIEL FASOLO</t>
  </si>
  <si>
    <t> CHEFE DA SEÇÃO CENTRAL MISTURAS INTRAV.</t>
  </si>
  <si>
    <t>Viagem de benchmarking aos hospitais AC Camargo e ICESP</t>
  </si>
  <si>
    <t>23092.205949/2019-36</t>
  </si>
  <si>
    <t>Ministrar Treinamento AGHUse - Módulos Faturamento Internação</t>
  </si>
  <si>
    <t>23092.205931/2019-34</t>
  </si>
  <si>
    <t>23092.205930/2019-90</t>
  </si>
  <si>
    <t>23092.206090/2019-82</t>
  </si>
  <si>
    <t>CARLA DALBOSCO</t>
  </si>
  <si>
    <t>ASSESSOR</t>
  </si>
  <si>
    <t>Representar a instituição como coordenadora adjunta do Mestrado Profissional em Saúde Mental e Transtornos Aditivos no Seminário de Meio Termo da CAPES/MEC</t>
  </si>
  <si>
    <t>23092.206088/2019-11</t>
  </si>
  <si>
    <t>Reunião com a Profª MARIA FERNANDA NOGUEIRA BITTENCOURT - Secretária Executiva Adjunta do Ministério da Educação</t>
  </si>
  <si>
    <t>23092.206094/2019-61</t>
  </si>
  <si>
    <t>PAULO DA CUNHA SERPA</t>
  </si>
  <si>
    <t>COORDENADOR FINANCEIRO</t>
  </si>
  <si>
    <t>23092.205144/2019-92</t>
  </si>
  <si>
    <t>ANDRÉ MENA ÁVILA</t>
  </si>
  <si>
    <t>CHEFE DO SERVIÇO DE SUSTENTAÇÃO E RELACIONAMENTO</t>
  </si>
  <si>
    <t>Evento Agile Trends GOV Teams/Management</t>
  </si>
  <si>
    <t>23092.206166/2019-70</t>
  </si>
  <si>
    <t>Reunião com o Procurador-Geral da União na PGU</t>
  </si>
  <si>
    <t>23092.206138/2019-52</t>
  </si>
  <si>
    <t>Reunião com a Coordenação de Política de Pessoal de Estatais da Secretaria de Coordenação e Governança das Empresas Estatais (SEST), sobre o cumprimento de legislação de gestantes e lactantes em atividades insalubres.</t>
  </si>
  <si>
    <t>23092.206267/2019-41</t>
  </si>
  <si>
    <t>LÚCIA COELHO COSTA NOBRE</t>
  </si>
  <si>
    <t>ADVOGADA</t>
  </si>
  <si>
    <t>Julgamento no Tribunal Superior do Trabalho</t>
  </si>
  <si>
    <t>Jul/Ago</t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</si>
  <si>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AGOSTO 2019</t>
    </r>
  </si>
  <si>
    <t>23092.206686/2019-82</t>
  </si>
  <si>
    <t>HELOISA GALVÃO DO AMARAL CAMPOS</t>
  </si>
  <si>
    <t>085.851.758-26</t>
  </si>
  <si>
    <t>PALESTRANTE CONVIDADA</t>
  </si>
  <si>
    <t>Participar do Grand Round</t>
  </si>
  <si>
    <t>23092.206733/2019-98</t>
  </si>
  <si>
    <t>CONSELHEIRO DO CONSELHEIRO DE ADMINISTRAÇÃO</t>
  </si>
  <si>
    <t>Reunião Do Conselho da Administração</t>
  </si>
  <si>
    <t>23092.206734/2019-32</t>
  </si>
  <si>
    <t>23092.206736/2019-21</t>
  </si>
  <si>
    <t>23092.206713/2019-17</t>
  </si>
  <si>
    <t>COORDENADORA DE GESTÃO FINANCEIRA</t>
  </si>
  <si>
    <t>PARTICIPAÇÃO NO 65º CURSO DE ADMINISTRAÇÃO ORÇAMENTÁRIA E FINANCEIRA</t>
  </si>
  <si>
    <t>23092.206865/2019-10</t>
  </si>
  <si>
    <t>4ª Certificação do Indicador de Governança IG-SEST</t>
  </si>
  <si>
    <t>23092.206083/2019-81</t>
  </si>
  <si>
    <t>ANALISTA DE AUDITORIA II</t>
  </si>
  <si>
    <t>Participação no 8º SEBROP - Seminário Brasileiro de Obras Públicas </t>
  </si>
  <si>
    <t>23092.207048/2019-89</t>
  </si>
  <si>
    <t>Ministrar Treinamento AGHUse - Módulo Sessões Terapêuticas - Quimioterapia</t>
  </si>
  <si>
    <t>23092.207063/2019-27</t>
  </si>
  <si>
    <t>MÉDICO RESIDENTE III</t>
  </si>
  <si>
    <t>Mnistrar Treinamento módulo Sessões Terapêuticas - AGHUse</t>
  </si>
  <si>
    <t>23092.206993/2019-63</t>
  </si>
  <si>
    <t>Representar a instituição como membro da Comissão de Avaliação Quadrienal 2017/2020 - Medicina III, no Seminário de Meio Termo da CAPES.</t>
  </si>
  <si>
    <t>23092.207356/2019-12</t>
  </si>
  <si>
    <t>Reunião com o advogado do Consórcio Tratenge Engeform, Dr. Arthur Guedes, responsável pela obra dos anexos I e II</t>
  </si>
  <si>
    <t>23092.207360/2019-72</t>
  </si>
  <si>
    <t>ADRIANA VIGNOLI</t>
  </si>
  <si>
    <t>608.538.240-53</t>
  </si>
  <si>
    <t> CHEFE DA SEÇÃO DE IDENTIFICAÇÃO</t>
  </si>
  <si>
    <t>Ministrar Treinamento AGHUse do módulo Registro de Colaboradores</t>
  </si>
  <si>
    <t>23092.207616/2019-41</t>
  </si>
  <si>
    <t>CAROLINE ZIANI DALLA POZZA</t>
  </si>
  <si>
    <t>CHEFE DO SERVIÇO ADMINISTRATIVO DE ATENÇÃO CLÍNICA</t>
  </si>
  <si>
    <t>Ministrar Treinamento dos Módulos:  Registro de Colaborador, Pacientes e Internação Administrativo para o HMAM.</t>
  </si>
  <si>
    <t>23092.207204/2019-10</t>
  </si>
  <si>
    <t>COORDENADOR DE GESTÃO TECNOL INFORMAÇÃO</t>
  </si>
  <si>
    <t>Representar o HCPA no "Fórum EBSERH - RNP - evolução e desafios da Saúde Digital",  apresentando o painel “Tradição e inovação na informatização de Hospital de Grande Porte”.</t>
  </si>
  <si>
    <t>23092.207849/2019-44</t>
  </si>
  <si>
    <t>Reunião de Serviço com advogados e representantes  da empresa CONCREMAT.</t>
  </si>
  <si>
    <t>POA X SP XPOA</t>
  </si>
  <si>
    <t>23092.207852/2019-68</t>
  </si>
  <si>
    <t>ADVOGADO (GERAL) I</t>
  </si>
  <si>
    <t>23092.207850/2019-79</t>
  </si>
  <si>
    <t>TATIANA SEEFELD</t>
  </si>
  <si>
    <t>23092.207858/2019-35</t>
  </si>
  <si>
    <t>TATIANA COSER NORMANN</t>
  </si>
  <si>
    <t>PESQUISADORA</t>
  </si>
  <si>
    <t>Utilizar Prêmio Ganho em Semana Científica ( Passagens ), para Participar no 15º Congresso Brasileiro de Pneumologia Pediátrica em Maceió.</t>
  </si>
  <si>
    <t>POA X MACEIÓ X FLORIANÓPOLIS</t>
  </si>
  <si>
    <r>
      <rPr>
        <b/>
        <sz val="14"/>
        <color rgb="FF000000"/>
        <rFont val="Arial"/>
      </rPr>
      <t xml:space="preserve"> SIC - </t>
    </r>
    <r>
      <rPr>
        <sz val="14"/>
        <color rgb="FF000000"/>
        <rFont val="Arial"/>
      </rPr>
      <t>RELAÇÃO DE VIAGENS  - SETEMBRO 2019</t>
    </r>
  </si>
  <si>
    <t>23092.207736/2019-49</t>
  </si>
  <si>
    <t>Ministrar Treinamento AGHUse - Módulo Compras</t>
  </si>
  <si>
    <t>23092.207717/2019-12</t>
  </si>
  <si>
    <t>CHEFE DA SEÇÃO DE GRÁFICA E DOCUMENTAÇÃO</t>
  </si>
  <si>
    <t>Ministrar Treinamento AGHUse - Módulo Estoque</t>
  </si>
  <si>
    <t>23092.207804/2019-70</t>
  </si>
  <si>
    <t>Ministrar Treinamento AGHUse - Módulo Farmácia</t>
  </si>
  <si>
    <t>23092.207645/2019-11</t>
  </si>
  <si>
    <t xml:space="preserve"> CHEFE DA SEÇÃO ADMINISTRATIVA DE CTI</t>
  </si>
  <si>
    <t>Ministrar Treinamento AGHUse - Módulo Ambulatório Administrativo</t>
  </si>
  <si>
    <t>23092.207680/2019-22</t>
  </si>
  <si>
    <t>Ministrar Treinamento AGHUse - Módulo Ambulatório e Internação Assistencial Médico.</t>
  </si>
  <si>
    <t>23092.207666/2019-29</t>
  </si>
  <si>
    <t>Ministrar Treinamento AGHUse -Módulo Ambulatório e Internação Assistencial Enfermagem.</t>
  </si>
  <si>
    <t>Set/Out.</t>
  </si>
  <si>
    <t>23092.208074/2019-24</t>
  </si>
  <si>
    <t>Ministrar Treinamento AGHUse -Módulo Estoque.</t>
  </si>
  <si>
    <t>23092.208088/2019-48</t>
  </si>
  <si>
    <t>FARMACÊUTICO-BIOQ DE DISPENSAÇÃO II</t>
  </si>
  <si>
    <t>Ministrar Treinamento AGHUse -Módulo Farmácia.</t>
  </si>
  <si>
    <t>23092.208740/2019-24</t>
  </si>
  <si>
    <t>CRISTIANE LETTIERI</t>
  </si>
  <si>
    <t xml:space="preserve"> ANALISTA DE PLANEJAMENTO DE SUPRIMENTOS I</t>
  </si>
  <si>
    <t>Ministrar Treinamento AGHUse -Módulo Compras.</t>
  </si>
  <si>
    <t>23092.207436/2019-60</t>
  </si>
  <si>
    <t>COORD DE GESTÃO AUDITORIA INTERNA</t>
  </si>
  <si>
    <t>Participação no Seminário de Auditoria Baseada em Riscos.</t>
  </si>
  <si>
    <t>GUSTAVO SALOMÃO PINTO</t>
  </si>
  <si>
    <t>23092.208076/2019-13</t>
  </si>
  <si>
    <t>23092.208224/2019-08</t>
  </si>
  <si>
    <t>GABRIELA SPIES LENZ</t>
  </si>
  <si>
    <t>PALESTRANTE</t>
  </si>
  <si>
    <r>
      <rPr>
        <sz val="8"/>
        <color rgb="FF000000"/>
        <rFont val="Arial"/>
      </rPr>
      <t>Participar evento </t>
    </r>
    <r>
      <rPr>
        <b/>
        <sz val="8"/>
        <color rgb="FF000000"/>
        <rFont val="Arial"/>
      </rPr>
      <t>AACR - American Association for Cancer Research</t>
    </r>
    <r>
      <rPr>
        <sz val="8"/>
        <color rgb="FF000000"/>
        <rFont val="Arial"/>
      </rPr>
      <t>, como Palestrante.</t>
    </r>
  </si>
  <si>
    <t>POAXBOSTONXPENSYLVXPOA</t>
  </si>
  <si>
    <t>Out/Nov</t>
  </si>
  <si>
    <t>23092.208075/2019-79</t>
  </si>
  <si>
    <t>23092.208073/2019-80</t>
  </si>
  <si>
    <t>23092.208207/2019-62</t>
  </si>
  <si>
    <t>FLAVIANE PEREIRA MARTINS</t>
  </si>
  <si>
    <t>MÉDICO (CONVIDADO )</t>
  </si>
  <si>
    <t>Participar da capacitação para prescrição e cuidados especiais de crianças em nutrição parenteral para continuidade do tratamento em domicílio da paciente GEOVANA CHIQUETTI HRESCAK - Prontuário 15758766, integrante do Programa de Reabilitação Intestinal de Crianças e Adolescentes - PRICA,</t>
  </si>
  <si>
    <t>CAMBÉ(PR) X POA X CAMBÉ(PR)</t>
  </si>
  <si>
    <t>23092.208206/2019-18</t>
  </si>
  <si>
    <t>ANDREA MUNIZ DE OLIVEIRA ALVEZ</t>
  </si>
  <si>
    <t>ENFERMEIRA (CONVIDADO )</t>
  </si>
  <si>
    <t>23092.208205/2019-73</t>
  </si>
  <si>
    <t>THALITA DA ROCHA MARANDOLA</t>
  </si>
  <si>
    <t>23092.208143/2019-08</t>
  </si>
  <si>
    <t>CAMILA RAVAGNANI RODRIGUES BUENO</t>
  </si>
  <si>
    <t>23092.208321/2019-92</t>
  </si>
  <si>
    <t>ANDREA CAROLINE BOSZCZOWSKI</t>
  </si>
  <si>
    <t>23092.207905/2019-41</t>
  </si>
  <si>
    <t>Participar do encontro onde será discutida a nova proposta de avaliação dos mestrados profissionais, pela CAPES.</t>
  </si>
  <si>
    <t>23092.208568/2019-17</t>
  </si>
  <si>
    <t>Reunião no TCU, juntamente com os advogados do HCPA, para defesa do Edital N.º 0395/2019.</t>
  </si>
  <si>
    <t>23092.208563/2019-86</t>
  </si>
  <si>
    <t>Reunião agendada no Tribunal de Contas da União (TCU) e no Ministério da Saúde.</t>
  </si>
  <si>
    <t>23092.208565/2019-75</t>
  </si>
  <si>
    <r>
      <rPr>
        <b/>
        <sz val="14"/>
        <color rgb="FF000000"/>
        <rFont val="Arial"/>
      </rPr>
      <t xml:space="preserve"> SIC - </t>
    </r>
    <r>
      <rPr>
        <sz val="14"/>
        <color rgb="FF000000"/>
        <rFont val="Arial"/>
      </rPr>
      <t>RELAÇÃO DE VIAGENS  - OUTUBRO 2019</t>
    </r>
  </si>
  <si>
    <t>23092.208729/2019-64</t>
  </si>
  <si>
    <t>PATRICIA ASHTON PROLLA</t>
  </si>
  <si>
    <t>Participar de reunião de validação do anteprojeto e do planejamento estratégico da Iniciativa Nacional de Genômica e de Medicina de Precisão</t>
  </si>
  <si>
    <t>23092.207239/2019-41</t>
  </si>
  <si>
    <t>MARIE CLAUDE OUIMET</t>
  </si>
  <si>
    <t>HG273756 - PASSAPORTE CANADÁ</t>
  </si>
  <si>
    <t>CONSULTORA</t>
  </si>
  <si>
    <t>MONTREAL X POA X MONTREAL</t>
  </si>
  <si>
    <t>nov/dez</t>
  </si>
  <si>
    <t>23092.208876/2019-34</t>
  </si>
  <si>
    <t>LAIS MACIEL GUTERRES ZEILMANN</t>
  </si>
  <si>
    <t>ASSESSORA ADJUNTO</t>
  </si>
  <si>
    <t>Participar 2° Workshop do Projeto Lean nas emergências, para os Hospitais participantes do projeto.</t>
  </si>
  <si>
    <t>23092.208905/2019-68</t>
  </si>
  <si>
    <t>JOÃO CARLOS BATISTA SANTANA</t>
  </si>
  <si>
    <t>CHEFE DE SERVIÇO DE EMERGÊNCIA</t>
  </si>
  <si>
    <t>23092.209104/2019-10</t>
  </si>
  <si>
    <t>Participar como palestrante e participante do V Congresso Brasileiro de Hospitais Universitários e de Ensino - ABRAHUE</t>
  </si>
  <si>
    <t>POA X SALVADOR POA</t>
  </si>
  <si>
    <t>23092.208776/2019-16</t>
  </si>
  <si>
    <t>Participar da capacitação da ANAHP - SAÚDE BASEADA NA ENTREGA DE VALOR: O PAPEL DO HOSPITAL COMO INTEGRADOR DO SISTEMA</t>
  </si>
  <si>
    <t>23092.209442/2019-51</t>
  </si>
  <si>
    <t>Exército/HAMAM - Apoio à Implantação AGHUse - Módulos Registro de Colaboradores, Cadastro de Pacientes, Internação Administrativo, Internação Assistencial, Ambulatório Administrativo e Ambulatório Assistencial.</t>
  </si>
  <si>
    <t>23092.209534/2019-31</t>
  </si>
  <si>
    <t>Apoio à Implantação AGHUse - Módulos Registro de Colaboradores, Cadastro de Pacientes, Internação Administrativo, Internação Assistencial,  Ambulatório Administrativo e Ambulatório Assistencial.</t>
  </si>
  <si>
    <t>Out/Niov</t>
  </si>
  <si>
    <t>23092.209391/2019-68</t>
  </si>
  <si>
    <t>SAULO CHAVES DE AQUINO</t>
  </si>
  <si>
    <t xml:space="preserve"> SUPERVISOR DE SUSTENTAÇÃO E RELACIONAMENTO EXTERNO</t>
  </si>
  <si>
    <t>Visita apoio à implantação AGHUse dos Módulos Registro de Colaboradores, Cadastro de Pacientes, Internação e Ambulatório</t>
  </si>
  <si>
    <t>23092.209508/2019-11</t>
  </si>
  <si>
    <t>Apoio à Implantação AGHUse - Módulos Registro de Colaboradores, Cadastro de Pacientes, Internação Administrativo, Internação Assistencial, Ambulatório Administrativo e Ambulatório Assistencial.</t>
  </si>
  <si>
    <t>23092.209333/2019-34</t>
  </si>
  <si>
    <t>PROCURADOR DA FAZENDA NACIONAL</t>
  </si>
  <si>
    <t>ASSEMBLÉIA GERAL EXTRAORDINÁRIA</t>
  </si>
  <si>
    <t>23092.209000/2019-13</t>
  </si>
  <si>
    <t>Participação no 10º Fórum Brasileiro da Atividade de Auditoria Interna Governamental</t>
  </si>
  <si>
    <t>23092.209188/2019-91</t>
  </si>
  <si>
    <t>23092.209175/2019-12</t>
  </si>
  <si>
    <t>Participação no 51º FONAITec.</t>
  </si>
  <si>
    <t>23092.209275/2019-49</t>
  </si>
  <si>
    <t>Participar V Congresso da Associação Brasileira de Hospitais Universitários e de Ensino - Abrahue.</t>
  </si>
  <si>
    <t>23092.209189/2019-36</t>
  </si>
  <si>
    <t>23092.209463/2019-77</t>
  </si>
  <si>
    <t>FLAVIO PECHANSKY</t>
  </si>
  <si>
    <t>CHEFE DE SERVIÇO MÉDICO - PROFESSOR</t>
  </si>
  <si>
    <t>Reunião na SENAD para tratar da revisão do projeto dos drogômetros e atualização do projeto atual</t>
  </si>
  <si>
    <t>23092.209402/2019-18</t>
  </si>
  <si>
    <t>TALITA UZEIKA</t>
  </si>
  <si>
    <t>CHEFE DO SERVIÇO DE ENG PREDIAL E DE EDIFICAÇÕES</t>
  </si>
  <si>
    <t>Participar no Seminário Nacional de Obras Públicas e Manutenção Predial</t>
  </si>
  <si>
    <t>23092.209514/2019-61</t>
  </si>
  <si>
    <t>NINON GIRARDON DA ROSA</t>
  </si>
  <si>
    <t>COORDENADORA DO GRUPO DE ENFERMAGEM</t>
  </si>
  <si>
    <t>Participar da capacitação da ANAHP - SAÚDE BASEADA NA ENTREGA DE VALOR: O PAPEL DO HOSPITAL COMO INTEGRADOR DO SISTEMA</t>
  </si>
  <si>
    <t>23092.210126/2019-22</t>
  </si>
  <si>
    <t>Ministrar Treinamento Projeto AGHuse.</t>
  </si>
  <si>
    <t>23092.210091/2019-21</t>
  </si>
  <si>
    <t>Audiência agenda ano TCU</t>
  </si>
  <si>
    <t>23092.210092/2019-76</t>
  </si>
  <si>
    <t>23092.210056/2019-11</t>
  </si>
  <si>
    <t>Participar da segunda Reunião no TCU, juntamente com os advogados do HCPA, para defesa do Edital N.º 0395/2019.</t>
  </si>
  <si>
    <t>23092.210063/2019-12</t>
  </si>
  <si>
    <t>LUIZ MARCOS ZAMBONADO</t>
  </si>
  <si>
    <t>SUPERVISOR DE GESTÃO DE CONTRATOS E AQUISIÇÕES</t>
  </si>
  <si>
    <t>23092.209994/2019-60</t>
  </si>
  <si>
    <t>CRISTINA MARIA DE GOUVEIA CALDEIRA</t>
  </si>
  <si>
    <t>PASSAPORTE PORTUGUÊS N854707</t>
  </si>
  <si>
    <t>Ministrar Palestra sobre  Proteção de Dados Pessoais na União Europeia e a Inteligência Artificial na área da saúde .</t>
  </si>
  <si>
    <t>POA X LISBOA X POA</t>
  </si>
  <si>
    <r>
      <rPr>
        <b/>
        <sz val="14"/>
        <color rgb="FF000000"/>
        <rFont val="Arial"/>
      </rPr>
      <t xml:space="preserve"> SIC - </t>
    </r>
    <r>
      <rPr>
        <sz val="14"/>
        <color rgb="FF000000"/>
        <rFont val="Arial"/>
      </rPr>
      <t>RELAÇÃO DE VIAGENS  - NOVEMBRO 2019</t>
    </r>
  </si>
  <si>
    <t>23092.210132/2019-80</t>
  </si>
  <si>
    <t>LUCIANA RAUPP RIOS WOHLGEMUTH</t>
  </si>
  <si>
    <t>COORDENADORA DA GESTÃO CONTÁBIL</t>
  </si>
  <si>
    <t>Participação II Encontro 2019 - Encerramento de Exercício</t>
  </si>
  <si>
    <t>23092.210478/2019-88</t>
  </si>
  <si>
    <t>Participar Reunião com Dr. Arthur Lima Guedes</t>
  </si>
  <si>
    <t>23092.210486/2019-24</t>
  </si>
  <si>
    <t>23092.210346/2019-56</t>
  </si>
  <si>
    <t>SUZI ALVES CAMEY</t>
  </si>
  <si>
    <t>CHEFE DO SERVIÇO DE BIOESTATÍSTICA</t>
  </si>
  <si>
    <t>Participar do Second Conference on Statistics and Data Science - CSDS 2019</t>
  </si>
  <si>
    <t>23092.210411/2019-43</t>
  </si>
  <si>
    <t>ALEXANDRE RIBEIRO PEREIRA LOPES</t>
  </si>
  <si>
    <t>Participação na Reunião do Conselho Fiscal</t>
  </si>
  <si>
    <t>23092.210414/2019-87</t>
  </si>
  <si>
    <t>AURO ADANO TANAKA</t>
  </si>
  <si>
    <t xml:space="preserve">BSB X POA X SPX BSB </t>
  </si>
  <si>
    <t>23092.210474/2019-08</t>
  </si>
  <si>
    <t>Ministrar Treinamento do módulo Exames Laboratório e Imagens.</t>
  </si>
  <si>
    <t>Nov/Dez</t>
  </si>
  <si>
    <t>23092.210820/2019-40</t>
  </si>
  <si>
    <t>Treinamento AGHUse - Módulos Exames - Imagens</t>
  </si>
  <si>
    <t>23092.210886/2019-30</t>
  </si>
  <si>
    <t>23092.210348/2019-45</t>
  </si>
  <si>
    <t>Implantação do módulo CCIH- AGH-use</t>
  </si>
  <si>
    <t>23092.210416/2019-76</t>
  </si>
  <si>
    <t>23092.210403/2019-05</t>
  </si>
  <si>
    <t>EZEEL DE BORBA NUNES</t>
  </si>
  <si>
    <t>ASSISTENTE DE ORÇAMENTO</t>
  </si>
  <si>
    <t>Capacitação na Plataforma Mais Brasil - Sistema de Captação de Recursos da União</t>
  </si>
  <si>
    <t>23092.210538/2019-62</t>
  </si>
  <si>
    <t>COORDENADORA DO GRUPO DE PESQUISA E PÓS GRADUAÇÃO</t>
  </si>
  <si>
    <t>Representar a Profa Nadine Clausell e o HCPA em atividade no evento V Congresso da Associação Brasileira de Hospitais Universitários e de Ensino - ABRAHUE, em Salvador/BA</t>
  </si>
  <si>
    <t>23092.210789/2019-47</t>
  </si>
  <si>
    <t>ROSANE GASPAR PETTER</t>
  </si>
  <si>
    <t>ANALISTA DE NEGÓCIO II</t>
  </si>
  <si>
    <t>Acompanhamento de implantação dos módulos Compras e Estoque</t>
  </si>
  <si>
    <t>23092.210775/2019-23</t>
  </si>
  <si>
    <t>CHEFE DA SEÇÃO DE GRÁFICA E DOCUMENTAÇÃO.</t>
  </si>
  <si>
    <t>Implantação do Módulo de Estoque</t>
  </si>
  <si>
    <t>23092.210701/2019-97</t>
  </si>
  <si>
    <t>Implantação Compras e Estoque no HMAB</t>
  </si>
  <si>
    <t>23092.210278/2019-25</t>
  </si>
  <si>
    <t>MARIA FERNANDA NOGUEIRA BITTENCOURT</t>
  </si>
  <si>
    <t>23092.210760/2019-65</t>
  </si>
  <si>
    <t>ROSELI FATIMA ARMILIATTO BORTOLUZZI</t>
  </si>
  <si>
    <t>Participação 2º Seminário Internacional de Previdência Complementar</t>
  </si>
  <si>
    <t>23092.210654/2019-81</t>
  </si>
  <si>
    <t xml:space="preserve"> GERALDO SIDIOMAR DA SILVA DUARTE</t>
  </si>
  <si>
    <t>Participação na Reunião do Sistema de Ouvidoria do Poder Executivo federal promovida pela CGU.</t>
  </si>
  <si>
    <t>23092.210281/2019-49</t>
  </si>
  <si>
    <t>23092.210758/2019-96</t>
  </si>
  <si>
    <t xml:space="preserve"> NUBIA ROSANE PEREIRA DE AVILA</t>
  </si>
  <si>
    <t>CHEFE DO SERVIÇO DE BENEFÍCIOS E APOSENTADORIAS</t>
  </si>
  <si>
    <t>Participar de Seminário Internacional Previdência Complementar promovido pela Secretaria de Previdência do Governo Federal</t>
  </si>
  <si>
    <t>23092.211157/2019-09</t>
  </si>
  <si>
    <t>ELIZABETH OBINO CIRNE LIMA</t>
  </si>
  <si>
    <t xml:space="preserve">  ASSESSOR</t>
  </si>
  <si>
    <t>Participar de reunião de inovação e projetos no Hospital de Clínicas da USP</t>
  </si>
  <si>
    <t xml:space="preserve">POA X SP X POA </t>
  </si>
  <si>
    <t>23092.211146/2019-11</t>
  </si>
  <si>
    <t>TIAGO ANDRES VAZ</t>
  </si>
  <si>
    <t>23092.210877/2019-49</t>
  </si>
  <si>
    <t>PAULA LUISA BROENSTRUP CORREA</t>
  </si>
  <si>
    <t xml:space="preserve">  CHEFE DO SERVIÇO DE GESTÃO DE NEGÓCIO</t>
  </si>
  <si>
    <r>
      <rPr>
        <sz val="8"/>
        <color rgb="FF000000"/>
        <rFont val="Arial"/>
      </rPr>
      <t>Participação no </t>
    </r>
    <r>
      <rPr>
        <b/>
        <sz val="8"/>
        <color rgb="FF000000"/>
        <rFont val="Arial"/>
      </rPr>
      <t>Congresso eSAÚDE &amp; PEP 2019</t>
    </r>
  </si>
  <si>
    <t>23092.210622/2019-86</t>
  </si>
  <si>
    <t>CARINA MACHADO COSTAMILAN HENRIQUES</t>
  </si>
  <si>
    <t xml:space="preserve">  CHEFE DA SEÇÃO DE ARQ MÉDICO E INF EM SAÚDE</t>
  </si>
  <si>
    <r>
      <rPr>
        <sz val="8"/>
        <color rgb="FF000000"/>
        <rFont val="Arial"/>
      </rPr>
      <t>Participação no </t>
    </r>
    <r>
      <rPr>
        <b/>
        <sz val="8"/>
        <color rgb="FF000000"/>
        <rFont val="Arial"/>
      </rPr>
      <t>Congresso eSAÚDE &amp; PEP 2019</t>
    </r>
  </si>
  <si>
    <t>23092.211218/2019-20</t>
  </si>
  <si>
    <t>DAYANNA MACHADO PIRES LEMOS</t>
  </si>
  <si>
    <t>ENFERMEIRO DE CUIDADOS CORONARIANOS II</t>
  </si>
  <si>
    <t>Acompanhamento da paciente Luiza Bortolini Fraron (P:15927429) em viagem de retorno ao Hospital de Clínicas de Porto Alegre, após internação para implante de HeartMate II no Hospital Sírio Libanês em São Paulo/SP.</t>
  </si>
  <si>
    <t>23092.211203/2019-61</t>
  </si>
  <si>
    <t>Transporte de paciente PRICA para Ijuí</t>
  </si>
  <si>
    <t>POA X IJUÍ X POA</t>
  </si>
  <si>
    <t>SIMONE BEIER</t>
  </si>
  <si>
    <t xml:space="preserve"> ASSISTENTE SOCIAL III</t>
  </si>
  <si>
    <r>
      <rPr>
        <b/>
        <sz val="14"/>
        <color rgb="FF000000"/>
        <rFont val="Arial"/>
      </rPr>
      <t xml:space="preserve"> SIC - </t>
    </r>
    <r>
      <rPr>
        <sz val="14"/>
        <color rgb="FF000000"/>
        <rFont val="Arial"/>
      </rPr>
      <t>RELAÇÃO DE VIAGENS  - DEZEMBRO 2019</t>
    </r>
  </si>
  <si>
    <t>23092.211341/2019-41</t>
  </si>
  <si>
    <t>23092.211557/2019-14</t>
  </si>
  <si>
    <t>Participar em Reunião SPO/MEC e BB Prev.</t>
  </si>
  <si>
    <t>23092.211485/2019-05</t>
  </si>
  <si>
    <t>COORDENADORA FINANCEIRA</t>
  </si>
  <si>
    <t>23092.211499/2019-11</t>
  </si>
  <si>
    <t>NÚBIA ROSANE PEREIRA DE ÁVILA</t>
  </si>
  <si>
    <t>Participar em Reunião na BB Prev.</t>
  </si>
  <si>
    <t>23092.211338/2019-27</t>
  </si>
  <si>
    <t>23092.211340/2019-04</t>
  </si>
  <si>
    <t>23092.211378/2019-79</t>
  </si>
  <si>
    <t>MARCELO BRONDANI TOLLER</t>
  </si>
  <si>
    <t xml:space="preserve"> ENGENHEIRO ELETRECISTA</t>
  </si>
  <si>
    <t> Fazer inspeção de equipamentos fabricados pela empresa Schneider e que serão fornecidos para a obra da nova subestação 69kV</t>
  </si>
  <si>
    <t>POA X BLUMENAU X POA</t>
  </si>
  <si>
    <t>23092.211642/2019-74</t>
  </si>
  <si>
    <t xml:space="preserve"> KELY REGINA DA LUZ</t>
  </si>
  <si>
    <t>ENFERMEIRO DE CUIDADOS CORONARIANOS I</t>
  </si>
  <si>
    <t>Capacitação da equipe local para preparo de alta da paciente LUIZA BORTOLINI FRARON pós implante de dispositivo assistência ventricular HeartMate II.</t>
  </si>
  <si>
    <t>POA X BENTO GONÇALVES X POA</t>
  </si>
  <si>
    <t>23092.211535/2019-46</t>
  </si>
  <si>
    <t>23092.211519/2019-53</t>
  </si>
  <si>
    <t>Ministrar Treinamento AGHUseE - MÓDULO FARMÁCIA - UNICAMP</t>
  </si>
  <si>
    <t>23092.211745/2019-34</t>
  </si>
  <si>
    <t>FERNANDA CECILIA DOS SANTOS</t>
  </si>
  <si>
    <t>FISIOTERAPEUTA DA INTERNAÇÃO ADULTO II</t>
  </si>
  <si>
    <t>23092.211643/2019-19</t>
  </si>
  <si>
    <t>ELISANDRO MOURA DA SILVA</t>
  </si>
  <si>
    <t xml:space="preserve"> MOTORISTA ESPECIALIZADO PRESIDÊNCIA-COMPRAS</t>
  </si>
  <si>
    <t>Levar com o carro do HCPA a equipe de profissionais do HCPA para capacitação da equipe local, Bento Gonçalves, para preparo de alta da paciente LUIZA BORTOLINI FRARON pós implante de dispositivo assistência ventricular HeartMate II.</t>
  </si>
  <si>
    <t>***.796.001-**</t>
  </si>
  <si>
    <t>***.575.407-**</t>
  </si>
  <si>
    <t>***.918.791-**</t>
  </si>
  <si>
    <t>***.939.811-**</t>
  </si>
  <si>
    <t>***.779.998-**</t>
  </si>
  <si>
    <t>***.259.770-**</t>
  </si>
  <si>
    <t>***.337.410-**</t>
  </si>
  <si>
    <t>***.571.070-**</t>
  </si>
  <si>
    <t>***.042.270-**</t>
  </si>
  <si>
    <t>***.670.750-**</t>
  </si>
  <si>
    <t>***.600.310-**</t>
  </si>
  <si>
    <t>***.523.620-**</t>
  </si>
  <si>
    <t>*** .042.270-**</t>
  </si>
  <si>
    <t>***.017.000-**</t>
  </si>
  <si>
    <t>***.758.120-**</t>
  </si>
  <si>
    <t>***.873.780-**</t>
  </si>
  <si>
    <t>***.083.560-**</t>
  </si>
  <si>
    <t>***.142.090-**</t>
  </si>
  <si>
    <t>***.341.307-**</t>
  </si>
  <si>
    <t>***.410.628-**</t>
  </si>
  <si>
    <t>***.392.480-**</t>
  </si>
  <si>
    <t>***.795.370-**</t>
  </si>
  <si>
    <t>***.802.500-**</t>
  </si>
  <si>
    <t>***.088.386-**</t>
  </si>
  <si>
    <t>***.851.280-**</t>
  </si>
  <si>
    <t>*** .023.780-**</t>
  </si>
  <si>
    <t>*** .594.620-**</t>
  </si>
  <si>
    <t>*** .571.070-**</t>
  </si>
  <si>
    <t>*** .898.400-**</t>
  </si>
  <si>
    <t>*** .088.386-**</t>
  </si>
  <si>
    <t>*** .796.001-**</t>
  </si>
  <si>
    <t>*** .779.998-**</t>
  </si>
  <si>
    <t>*** .918.791-**</t>
  </si>
  <si>
    <t>*** .939.811-**</t>
  </si>
  <si>
    <t>*** .600.310-**</t>
  </si>
  <si>
    <t>*** .851.280-**</t>
  </si>
  <si>
    <t>*** .940.160-**</t>
  </si>
  <si>
    <t>*** .881.510-**</t>
  </si>
  <si>
    <t>*** .550.600-**</t>
  </si>
  <si>
    <t>*** .368.930-**</t>
  </si>
  <si>
    <t>*** .142.090-**</t>
  </si>
  <si>
    <t>*** .083.560-**</t>
  </si>
  <si>
    <t>*** .327.520-**</t>
  </si>
  <si>
    <t>*** .571.090-**</t>
  </si>
  <si>
    <t>*** .754.910-**</t>
  </si>
  <si>
    <t>*** .151.510-**</t>
  </si>
  <si>
    <t>*** .067.840-**</t>
  </si>
  <si>
    <t>*** .997.570-**</t>
  </si>
  <si>
    <t>*** .686.370-**</t>
  </si>
  <si>
    <t>*** .433.770-**</t>
  </si>
  <si>
    <t>*** .634.590-**</t>
  </si>
  <si>
    <t>*** .272.660-**</t>
  </si>
  <si>
    <t>*** .115.600-**</t>
  </si>
  <si>
    <t>*** .574.300-**</t>
  </si>
  <si>
    <t>*** .209.150-**</t>
  </si>
  <si>
    <t>***.824.220-**</t>
  </si>
  <si>
    <t>*** .824.220-**</t>
  </si>
  <si>
    <t>*** .895.800-**</t>
  </si>
  <si>
    <t>*** .250.957-**</t>
  </si>
  <si>
    <t>*** .432.230-**</t>
  </si>
  <si>
    <t>*** .575.407-**</t>
  </si>
  <si>
    <t>*** .192.300-**</t>
  </si>
  <si>
    <t>*** .677.280-**</t>
  </si>
  <si>
    <t>*** .523.620-**</t>
  </si>
  <si>
    <t>*** .410.628-**</t>
  </si>
  <si>
    <t>*** .392.480-**</t>
  </si>
  <si>
    <t>*** .052.890-**</t>
  </si>
  <si>
    <t>*** .873.780-**</t>
  </si>
  <si>
    <t>*** .546.196-**</t>
  </si>
  <si>
    <t>*** .776.721-**</t>
  </si>
  <si>
    <t>*** .088.378-**</t>
  </si>
  <si>
    <t>*** .044.278-**</t>
  </si>
  <si>
    <t>***.628.410-**</t>
  </si>
  <si>
    <t>***.629.890-**</t>
  </si>
  <si>
    <t>***.238.070-**</t>
  </si>
  <si>
    <t>***.209.330-**</t>
  </si>
  <si>
    <t>***.895.800-**</t>
  </si>
  <si>
    <t>***.421.620-**</t>
  </si>
  <si>
    <t>***.335.350-**</t>
  </si>
  <si>
    <t>***.220.210-**</t>
  </si>
  <si>
    <t>***.170.030-**</t>
  </si>
  <si>
    <t>***.660.320-**</t>
  </si>
  <si>
    <t>***.642.210-**</t>
  </si>
  <si>
    <t>***.981.788-**</t>
  </si>
  <si>
    <t>***.988.369-**</t>
  </si>
  <si>
    <t>***.774.910-**</t>
  </si>
  <si>
    <t>***.067.610-**</t>
  </si>
  <si>
    <t>***.854.470-**</t>
  </si>
  <si>
    <t>***.848.950-**</t>
  </si>
  <si>
    <t>***.778.350-**</t>
  </si>
  <si>
    <t>***.762.800-**</t>
  </si>
  <si>
    <t>***.433.770-**</t>
  </si>
  <si>
    <t>***.986.560-**</t>
  </si>
  <si>
    <t>***.648.830-**</t>
  </si>
  <si>
    <t>*** .335.350-**</t>
  </si>
  <si>
    <t>*** .663.509-**</t>
  </si>
  <si>
    <t>*** .835.000-**</t>
  </si>
  <si>
    <t>*** .418.490-**</t>
  </si>
  <si>
    <t>*** .993.250-**</t>
  </si>
  <si>
    <t>*** .636.750-**</t>
  </si>
  <si>
    <t>*** .067.610-**</t>
  </si>
  <si>
    <t>*** .400.520-**</t>
  </si>
  <si>
    <t>*** .143.100-**</t>
  </si>
  <si>
    <t>*** .840.070-**</t>
  </si>
  <si>
    <t>*** .719.810-**</t>
  </si>
  <si>
    <t>*** .608.040-**</t>
  </si>
  <si>
    <t>*** .245.251-**</t>
  </si>
  <si>
    <t>*** .445.670-**</t>
  </si>
  <si>
    <t>*** .641.306-**</t>
  </si>
  <si>
    <t>*** .455.730-**</t>
  </si>
  <si>
    <t>*** .006.980-**</t>
  </si>
  <si>
    <t>*** .544.530-**</t>
  </si>
  <si>
    <t>*** .889.020-**</t>
  </si>
  <si>
    <t>*** .539.600-**</t>
  </si>
  <si>
    <t>*** .276.080-**</t>
  </si>
  <si>
    <t>*** .960.080-**</t>
  </si>
  <si>
    <t>*** .749.620-**</t>
  </si>
  <si>
    <t>*** .077.910-**</t>
  </si>
  <si>
    <t>*** .309.070-**</t>
  </si>
  <si>
    <t>*** .230.600-**</t>
  </si>
  <si>
    <t>*** .851.758-**</t>
  </si>
  <si>
    <t>*** .538.240-**</t>
  </si>
  <si>
    <t>*** .782.909-**</t>
  </si>
  <si>
    <t>*** .285.910-**</t>
  </si>
  <si>
    <t>*** .817.190-**</t>
  </si>
  <si>
    <t>*** .017.000-**</t>
  </si>
  <si>
    <t>*** .934.150-**</t>
  </si>
  <si>
    <t>*** .238.070-**</t>
  </si>
  <si>
    <t>*** .125.660-**</t>
  </si>
  <si>
    <t>*** .623.450-**</t>
  </si>
  <si>
    <t>*** .483.898-**</t>
  </si>
  <si>
    <t>*** .917.459-**</t>
  </si>
  <si>
    <t>*** .041.979-**</t>
  </si>
  <si>
    <t>*** .764.099-**</t>
  </si>
  <si>
    <t>*** .079.299-**</t>
  </si>
  <si>
    <t>*** .871.150-**</t>
  </si>
  <si>
    <t>*** .748.140-**</t>
  </si>
  <si>
    <t>*** .746.060-**</t>
  </si>
  <si>
    <t>*** .038.960-**</t>
  </si>
  <si>
    <t>*** .207.310-**</t>
  </si>
  <si>
    <t>*** .336.409-**</t>
  </si>
  <si>
    <t>*** .171.520-**</t>
  </si>
  <si>
    <t>*** .660.099-**</t>
  </si>
  <si>
    <t>*** .881.660-**</t>
  </si>
  <si>
    <t>*** .229.778-**</t>
  </si>
  <si>
    <t>*** .169.317-**</t>
  </si>
  <si>
    <t>*** .450.878-**</t>
  </si>
  <si>
    <t>*** .388.220-**</t>
  </si>
  <si>
    <t>*** .829.950-**</t>
  </si>
  <si>
    <t>*** .966.901-**</t>
  </si>
  <si>
    <t>*** .229.340-**</t>
  </si>
  <si>
    <t>*** .486.180-**</t>
  </si>
  <si>
    <t>*** .907.607-**</t>
  </si>
  <si>
    <t xml:space="preserve"> *** .111.130-**</t>
  </si>
  <si>
    <t>*** .357.330-**</t>
  </si>
  <si>
    <t>*** .304.400-**</t>
  </si>
  <si>
    <t>*** .923.060-**</t>
  </si>
  <si>
    <t>*** .774.910-**</t>
  </si>
  <si>
    <t xml:space="preserve"> *** .845.090-**</t>
  </si>
  <si>
    <t>*** .227.750-**</t>
  </si>
  <si>
    <t>*** .824.470-**</t>
  </si>
  <si>
    <t>*** .229.310-**</t>
  </si>
  <si>
    <t>*** .319.490-**</t>
  </si>
  <si>
    <t>*** .773.990-**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</si>
</sst>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"/>
    <numFmt numFmtId="165" formatCode="[$-416]d\ \ mmmm\,\ yyyy"/>
    <numFmt numFmtId="166" formatCode="[$-416]mmm\-yy"/>
  </numFmts>
  <fonts count="38">
    <font>
      <sz val="11"/>
      <color theme="1"/>
      <name val="Calibri"/>
      <scheme val="minor"/>
    </font>
    <font>
      <sz val="11"/>
      <color theme="1"/>
      <name val="Calibri"/>
    </font>
    <font>
      <b/>
      <sz val="10"/>
      <color theme="1"/>
      <name val="Arial"/>
    </font>
    <font>
      <b/>
      <sz val="14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1"/>
      <name val="Calibri"/>
    </font>
    <font>
      <sz val="10"/>
      <color theme="1"/>
      <name val="Arial"/>
    </font>
    <font>
      <b/>
      <sz val="9"/>
      <color theme="1"/>
      <name val="Arial"/>
    </font>
    <font>
      <b/>
      <i/>
      <sz val="10"/>
      <color theme="1"/>
      <name val="Arial"/>
    </font>
    <font>
      <sz val="9"/>
      <color theme="1"/>
      <name val="Arial"/>
    </font>
    <font>
      <b/>
      <sz val="9"/>
      <color rgb="FFFF0000"/>
      <name val="Arial"/>
    </font>
    <font>
      <sz val="8"/>
      <color theme="1"/>
      <name val="Arial"/>
    </font>
    <font>
      <sz val="11"/>
      <color theme="1"/>
      <name val="Arial"/>
    </font>
    <font>
      <b/>
      <sz val="12"/>
      <color theme="1"/>
      <name val="Arial"/>
    </font>
    <font>
      <b/>
      <sz val="11"/>
      <color theme="1"/>
      <name val="Arial"/>
    </font>
    <font>
      <sz val="12"/>
      <color theme="1"/>
      <name val="Arial"/>
    </font>
    <font>
      <i/>
      <sz val="8"/>
      <color theme="1"/>
      <name val="Arial"/>
    </font>
    <font>
      <b/>
      <i/>
      <sz val="8"/>
      <color theme="1"/>
      <name val="Arial"/>
    </font>
    <font>
      <b/>
      <sz val="14"/>
      <color theme="1"/>
      <name val="Arial"/>
    </font>
    <font>
      <sz val="12"/>
      <color rgb="FFFF0000"/>
      <name val="Arial"/>
    </font>
    <font>
      <b/>
      <i/>
      <sz val="12"/>
      <color theme="1"/>
      <name val="Calibri"/>
    </font>
    <font>
      <sz val="11"/>
      <color theme="1"/>
      <name val="Calibri"/>
      <scheme val="minor"/>
    </font>
    <font>
      <b/>
      <sz val="10"/>
      <color rgb="FFFF0000"/>
      <name val="Arial"/>
    </font>
    <font>
      <b/>
      <sz val="9"/>
      <color rgb="FF000000"/>
      <name val="Arial"/>
    </font>
    <font>
      <sz val="8"/>
      <color rgb="FF000000"/>
      <name val="Arial"/>
    </font>
    <font>
      <sz val="9"/>
      <color rgb="FF000000"/>
      <name val="Arial"/>
    </font>
    <font>
      <b/>
      <sz val="9"/>
      <color rgb="FF000000"/>
      <name val="Antique olive"/>
    </font>
    <font>
      <sz val="10"/>
      <color rgb="FFFF0000"/>
      <name val="Arial"/>
    </font>
    <font>
      <sz val="12"/>
      <color rgb="FF000000"/>
      <name val="Calibri"/>
    </font>
    <font>
      <sz val="8"/>
      <color rgb="FFFF0000"/>
      <name val="Arial"/>
    </font>
    <font>
      <b/>
      <sz val="8"/>
      <color theme="1"/>
      <name val="Arial"/>
    </font>
    <font>
      <sz val="8"/>
      <color rgb="FF000000"/>
      <name val="Arail"/>
    </font>
    <font>
      <b/>
      <sz val="8"/>
      <color rgb="FFFF0000"/>
      <name val="Arial"/>
    </font>
    <font>
      <b/>
      <sz val="9"/>
      <color theme="1"/>
      <name val="Antique olive"/>
    </font>
    <font>
      <sz val="14"/>
      <color rgb="FF000000"/>
      <name val="Arial"/>
    </font>
    <font>
      <b/>
      <sz val="11"/>
      <color theme="1"/>
      <name val="Calibri"/>
    </font>
    <font>
      <b/>
      <sz val="8"/>
      <color rgb="FF000000"/>
      <name val="Arial"/>
    </font>
  </fonts>
  <fills count="15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EEECE1"/>
        <bgColor rgb="FFEEECE1"/>
      </patternFill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rgb="FFD99594"/>
        <bgColor rgb="FFD99594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C000"/>
        <bgColor rgb="FFFFC000"/>
      </patternFill>
    </fill>
    <fill>
      <patternFill patternType="solid">
        <fgColor rgb="FFC6D9F0"/>
        <bgColor rgb="FFC6D9F0"/>
      </patternFill>
    </fill>
    <fill>
      <patternFill patternType="solid">
        <fgColor rgb="FF92D050"/>
        <bgColor rgb="FF92D050"/>
      </patternFill>
    </fill>
  </fills>
  <borders count="7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164" fontId="8" fillId="6" borderId="7" xfId="0" applyNumberFormat="1" applyFont="1" applyFill="1" applyBorder="1" applyAlignment="1">
      <alignment vertical="center"/>
    </xf>
    <xf numFmtId="164" fontId="8" fillId="6" borderId="7" xfId="0" applyNumberFormat="1" applyFont="1" applyFill="1" applyBorder="1" applyAlignment="1">
      <alignment horizontal="center" vertical="center"/>
    </xf>
    <xf numFmtId="164" fontId="9" fillId="5" borderId="7" xfId="0" applyNumberFormat="1" applyFont="1" applyFill="1" applyBorder="1" applyAlignment="1">
      <alignment vertical="center" wrapText="1"/>
    </xf>
    <xf numFmtId="0" fontId="10" fillId="0" borderId="0" xfId="0" applyFont="1"/>
    <xf numFmtId="164" fontId="10" fillId="0" borderId="0" xfId="0" applyNumberFormat="1" applyFont="1"/>
    <xf numFmtId="0" fontId="8" fillId="3" borderId="8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/>
    </xf>
    <xf numFmtId="164" fontId="8" fillId="6" borderId="10" xfId="0" applyNumberFormat="1" applyFont="1" applyFill="1" applyBorder="1" applyAlignment="1">
      <alignment vertical="center"/>
    </xf>
    <xf numFmtId="164" fontId="8" fillId="6" borderId="10" xfId="0" applyNumberFormat="1" applyFont="1" applyFill="1" applyBorder="1" applyAlignment="1">
      <alignment horizontal="center" vertical="center"/>
    </xf>
    <xf numFmtId="164" fontId="9" fillId="5" borderId="9" xfId="0" applyNumberFormat="1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164" fontId="8" fillId="6" borderId="13" xfId="0" applyNumberFormat="1" applyFont="1" applyFill="1" applyBorder="1" applyAlignment="1">
      <alignment vertical="center"/>
    </xf>
    <xf numFmtId="164" fontId="8" fillId="6" borderId="13" xfId="0" applyNumberFormat="1" applyFont="1" applyFill="1" applyBorder="1" applyAlignment="1">
      <alignment horizontal="center" vertical="center"/>
    </xf>
    <xf numFmtId="164" fontId="9" fillId="5" borderId="12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0" fillId="0" borderId="0" xfId="0" applyNumberFormat="1" applyFont="1" applyAlignment="1">
      <alignment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3" fillId="0" borderId="0" xfId="0" applyFont="1"/>
    <xf numFmtId="0" fontId="9" fillId="7" borderId="14" xfId="0" applyFont="1" applyFill="1" applyBorder="1" applyAlignment="1">
      <alignment horizontal="center"/>
    </xf>
    <xf numFmtId="164" fontId="14" fillId="6" borderId="4" xfId="0" applyNumberFormat="1" applyFont="1" applyFill="1" applyBorder="1"/>
    <xf numFmtId="164" fontId="14" fillId="6" borderId="4" xfId="0" applyNumberFormat="1" applyFont="1" applyFill="1" applyBorder="1" applyAlignment="1">
      <alignment horizontal="left"/>
    </xf>
    <xf numFmtId="164" fontId="14" fillId="6" borderId="4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164" fontId="1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164" fontId="14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19" fillId="8" borderId="14" xfId="0" applyNumberFormat="1" applyFont="1" applyFill="1" applyBorder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5" fontId="21" fillId="2" borderId="4" xfId="0" applyNumberFormat="1" applyFont="1" applyFill="1" applyBorder="1" applyAlignment="1">
      <alignment horizontal="center"/>
    </xf>
    <xf numFmtId="164" fontId="18" fillId="0" borderId="15" xfId="0" applyNumberFormat="1" applyFont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/>
    </xf>
    <xf numFmtId="0" fontId="1" fillId="8" borderId="14" xfId="0" applyFont="1" applyFill="1" applyBorder="1"/>
    <xf numFmtId="0" fontId="1" fillId="8" borderId="14" xfId="0" applyFont="1" applyFill="1" applyBorder="1" applyAlignment="1">
      <alignment horizontal="left"/>
    </xf>
    <xf numFmtId="0" fontId="22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vertical="center" shrinkToFit="1"/>
    </xf>
    <xf numFmtId="0" fontId="23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shrinkToFit="1"/>
    </xf>
    <xf numFmtId="0" fontId="2" fillId="6" borderId="21" xfId="0" applyFont="1" applyFill="1" applyBorder="1" applyAlignment="1">
      <alignment horizontal="center" vertical="center" shrinkToFit="1"/>
    </xf>
    <xf numFmtId="0" fontId="23" fillId="6" borderId="21" xfId="0" applyFont="1" applyFill="1" applyBorder="1" applyAlignment="1">
      <alignment horizontal="center" vertical="center" shrinkToFi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164" fontId="2" fillId="6" borderId="25" xfId="0" applyNumberFormat="1" applyFont="1" applyFill="1" applyBorder="1" applyAlignment="1">
      <alignment horizontal="center" vertical="center" wrapText="1"/>
    </xf>
    <xf numFmtId="164" fontId="2" fillId="6" borderId="26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shrinkToFit="1"/>
    </xf>
    <xf numFmtId="0" fontId="8" fillId="9" borderId="28" xfId="0" applyFont="1" applyFill="1" applyBorder="1" applyAlignment="1">
      <alignment horizontal="center" wrapText="1"/>
    </xf>
    <xf numFmtId="0" fontId="12" fillId="0" borderId="28" xfId="0" applyFont="1" applyBorder="1" applyAlignment="1">
      <alignment horizontal="left" wrapText="1"/>
    </xf>
    <xf numFmtId="0" fontId="24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9" borderId="28" xfId="0" applyFont="1" applyFill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 wrapText="1"/>
    </xf>
    <xf numFmtId="166" fontId="26" fillId="0" borderId="28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64" fontId="2" fillId="0" borderId="30" xfId="0" applyNumberFormat="1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 shrinkToFit="1"/>
    </xf>
    <xf numFmtId="0" fontId="8" fillId="9" borderId="32" xfId="0" applyFont="1" applyFill="1" applyBorder="1" applyAlignment="1">
      <alignment horizontal="center"/>
    </xf>
    <xf numFmtId="0" fontId="12" fillId="0" borderId="32" xfId="0" applyFont="1" applyBorder="1" applyAlignment="1">
      <alignment horizontal="left" wrapText="1"/>
    </xf>
    <xf numFmtId="0" fontId="24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9" borderId="32" xfId="0" applyFont="1" applyFill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12" fillId="0" borderId="32" xfId="0" applyFont="1" applyBorder="1" applyAlignment="1">
      <alignment horizontal="center" wrapText="1"/>
    </xf>
    <xf numFmtId="166" fontId="26" fillId="0" borderId="32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164" fontId="2" fillId="0" borderId="34" xfId="0" applyNumberFormat="1" applyFont="1" applyBorder="1" applyAlignment="1">
      <alignment vertical="center" wrapText="1"/>
    </xf>
    <xf numFmtId="0" fontId="8" fillId="9" borderId="32" xfId="0" applyFont="1" applyFill="1" applyBorder="1" applyAlignment="1">
      <alignment horizontal="center" wrapText="1"/>
    </xf>
    <xf numFmtId="0" fontId="12" fillId="0" borderId="32" xfId="0" applyFont="1" applyBorder="1" applyAlignment="1">
      <alignment horizontal="left"/>
    </xf>
    <xf numFmtId="0" fontId="25" fillId="0" borderId="32" xfId="0" applyFont="1" applyBorder="1"/>
    <xf numFmtId="0" fontId="25" fillId="0" borderId="0" xfId="0" applyFont="1" applyAlignment="1">
      <alignment horizontal="center"/>
    </xf>
    <xf numFmtId="0" fontId="25" fillId="9" borderId="32" xfId="0" applyFont="1" applyFill="1" applyBorder="1" applyAlignment="1">
      <alignment horizontal="center" wrapText="1"/>
    </xf>
    <xf numFmtId="0" fontId="25" fillId="0" borderId="32" xfId="0" applyFont="1" applyBorder="1" applyAlignment="1">
      <alignment horizontal="center" wrapText="1"/>
    </xf>
    <xf numFmtId="166" fontId="10" fillId="0" borderId="32" xfId="0" applyNumberFormat="1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9" borderId="32" xfId="0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 shrinkToFit="1"/>
    </xf>
    <xf numFmtId="0" fontId="8" fillId="9" borderId="36" xfId="0" applyFont="1" applyFill="1" applyBorder="1" applyAlignment="1">
      <alignment horizontal="center"/>
    </xf>
    <xf numFmtId="0" fontId="12" fillId="0" borderId="36" xfId="0" applyFont="1" applyBorder="1" applyAlignment="1">
      <alignment horizontal="left"/>
    </xf>
    <xf numFmtId="0" fontId="27" fillId="0" borderId="36" xfId="0" applyFont="1" applyBorder="1" applyAlignment="1">
      <alignment horizontal="center"/>
    </xf>
    <xf numFmtId="0" fontId="25" fillId="0" borderId="37" xfId="0" applyFont="1" applyBorder="1"/>
    <xf numFmtId="0" fontId="25" fillId="9" borderId="36" xfId="0" applyFont="1" applyFill="1" applyBorder="1" applyAlignment="1">
      <alignment horizontal="center" wrapText="1"/>
    </xf>
    <xf numFmtId="0" fontId="25" fillId="0" borderId="36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166" fontId="10" fillId="0" borderId="36" xfId="0" applyNumberFormat="1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164" fontId="8" fillId="8" borderId="36" xfId="0" applyNumberFormat="1" applyFont="1" applyFill="1" applyBorder="1" applyAlignment="1">
      <alignment vertical="center"/>
    </xf>
    <xf numFmtId="164" fontId="8" fillId="10" borderId="36" xfId="0" applyNumberFormat="1" applyFont="1" applyFill="1" applyBorder="1" applyAlignment="1">
      <alignment horizontal="center" vertical="center"/>
    </xf>
    <xf numFmtId="164" fontId="8" fillId="11" borderId="36" xfId="0" applyNumberFormat="1" applyFont="1" applyFill="1" applyBorder="1" applyAlignment="1">
      <alignment horizontal="center" vertical="center"/>
    </xf>
    <xf numFmtId="164" fontId="2" fillId="0" borderId="38" xfId="0" applyNumberFormat="1" applyFont="1" applyBorder="1" applyAlignment="1">
      <alignment vertical="center" wrapText="1"/>
    </xf>
    <xf numFmtId="166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5" borderId="4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164" fontId="14" fillId="0" borderId="0" xfId="0" applyNumberFormat="1" applyFont="1"/>
    <xf numFmtId="164" fontId="8" fillId="0" borderId="0" xfId="0" applyNumberFormat="1" applyFont="1" applyAlignment="1">
      <alignment vertical="center"/>
    </xf>
    <xf numFmtId="164" fontId="14" fillId="10" borderId="14" xfId="0" applyNumberFormat="1" applyFont="1" applyFill="1" applyBorder="1" applyAlignment="1">
      <alignment horizontal="center" vertical="center"/>
    </xf>
    <xf numFmtId="164" fontId="14" fillId="11" borderId="14" xfId="0" applyNumberFormat="1" applyFont="1" applyFill="1" applyBorder="1" applyAlignment="1">
      <alignment horizontal="center" vertical="center"/>
    </xf>
    <xf numFmtId="164" fontId="14" fillId="0" borderId="0" xfId="0" applyNumberFormat="1" applyFont="1" applyAlignment="1">
      <alignment horizontal="right"/>
    </xf>
    <xf numFmtId="164" fontId="14" fillId="12" borderId="4" xfId="0" applyNumberFormat="1" applyFont="1" applyFill="1" applyBorder="1"/>
    <xf numFmtId="164" fontId="28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15" fillId="0" borderId="0" xfId="0" applyNumberFormat="1" applyFont="1"/>
    <xf numFmtId="0" fontId="3" fillId="0" borderId="0" xfId="0" applyFont="1"/>
    <xf numFmtId="0" fontId="23" fillId="6" borderId="39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shrinkToFit="1"/>
    </xf>
    <xf numFmtId="0" fontId="23" fillId="6" borderId="4" xfId="0" applyFont="1" applyFill="1" applyBorder="1" applyAlignment="1">
      <alignment horizontal="center" vertical="center" shrinkToFit="1"/>
    </xf>
    <xf numFmtId="0" fontId="2" fillId="6" borderId="41" xfId="0" applyFont="1" applyFill="1" applyBorder="1" applyAlignment="1">
      <alignment horizontal="center" vertical="center" shrinkToFit="1"/>
    </xf>
    <xf numFmtId="0" fontId="2" fillId="6" borderId="42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164" fontId="2" fillId="6" borderId="43" xfId="0" applyNumberFormat="1" applyFont="1" applyFill="1" applyBorder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164" fontId="2" fillId="6" borderId="44" xfId="0" applyNumberFormat="1" applyFont="1" applyFill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25" fillId="9" borderId="28" xfId="0" applyFont="1" applyFill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166" fontId="10" fillId="0" borderId="28" xfId="0" applyNumberFormat="1" applyFont="1" applyBorder="1" applyAlignment="1">
      <alignment horizontal="center"/>
    </xf>
    <xf numFmtId="0" fontId="25" fillId="0" borderId="45" xfId="0" applyFont="1" applyBorder="1" applyAlignment="1">
      <alignment horizontal="center" wrapText="1"/>
    </xf>
    <xf numFmtId="0" fontId="25" fillId="9" borderId="46" xfId="0" applyFont="1" applyFill="1" applyBorder="1" applyAlignment="1">
      <alignment horizontal="center" wrapText="1"/>
    </xf>
    <xf numFmtId="0" fontId="25" fillId="0" borderId="47" xfId="0" applyFont="1" applyBorder="1" applyAlignment="1">
      <alignment horizontal="center" wrapText="1"/>
    </xf>
    <xf numFmtId="164" fontId="2" fillId="0" borderId="48" xfId="0" applyNumberFormat="1" applyFont="1" applyBorder="1" applyAlignment="1">
      <alignment vertical="center" wrapText="1"/>
    </xf>
    <xf numFmtId="0" fontId="24" fillId="0" borderId="32" xfId="0" applyFont="1" applyBorder="1" applyAlignment="1">
      <alignment horizontal="center" wrapText="1"/>
    </xf>
    <xf numFmtId="0" fontId="25" fillId="0" borderId="45" xfId="0" applyFont="1" applyBorder="1" applyAlignment="1">
      <alignment horizontal="center"/>
    </xf>
    <xf numFmtId="0" fontId="29" fillId="9" borderId="14" xfId="0" applyFont="1" applyFill="1" applyBorder="1"/>
    <xf numFmtId="0" fontId="25" fillId="0" borderId="0" xfId="0" applyFont="1" applyAlignment="1">
      <alignment horizontal="center" wrapText="1"/>
    </xf>
    <xf numFmtId="0" fontId="25" fillId="0" borderId="0" xfId="0" applyFont="1"/>
    <xf numFmtId="0" fontId="12" fillId="0" borderId="45" xfId="0" applyFont="1" applyBorder="1" applyAlignment="1">
      <alignment horizontal="center"/>
    </xf>
    <xf numFmtId="0" fontId="25" fillId="9" borderId="14" xfId="0" applyFont="1" applyFill="1" applyBorder="1" applyAlignment="1">
      <alignment horizontal="center"/>
    </xf>
    <xf numFmtId="0" fontId="29" fillId="9" borderId="32" xfId="0" applyFont="1" applyFill="1" applyBorder="1" applyAlignment="1">
      <alignment horizontal="center"/>
    </xf>
    <xf numFmtId="0" fontId="29" fillId="9" borderId="14" xfId="0" applyFont="1" applyFill="1" applyBorder="1" applyAlignment="1">
      <alignment horizontal="center"/>
    </xf>
    <xf numFmtId="0" fontId="25" fillId="9" borderId="14" xfId="0" applyFont="1" applyFill="1" applyBorder="1"/>
    <xf numFmtId="0" fontId="24" fillId="0" borderId="36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9" fillId="9" borderId="50" xfId="0" applyFont="1" applyFill="1" applyBorder="1"/>
    <xf numFmtId="0" fontId="25" fillId="0" borderId="51" xfId="0" applyFont="1" applyBorder="1" applyAlignment="1">
      <alignment horizontal="center" wrapText="1"/>
    </xf>
    <xf numFmtId="164" fontId="2" fillId="0" borderId="52" xfId="0" applyNumberFormat="1" applyFont="1" applyBorder="1" applyAlignment="1">
      <alignment vertical="center" wrapText="1"/>
    </xf>
    <xf numFmtId="164" fontId="14" fillId="0" borderId="0" xfId="0" applyNumberFormat="1" applyFont="1" applyAlignment="1">
      <alignment vertical="center"/>
    </xf>
    <xf numFmtId="0" fontId="23" fillId="6" borderId="4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shrinkToFit="1"/>
    </xf>
    <xf numFmtId="0" fontId="2" fillId="6" borderId="53" xfId="0" applyFont="1" applyFill="1" applyBorder="1" applyAlignment="1">
      <alignment horizontal="center" vertical="center" shrinkToFit="1"/>
    </xf>
    <xf numFmtId="0" fontId="24" fillId="0" borderId="5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0" fillId="0" borderId="32" xfId="0" applyFont="1" applyBorder="1" applyAlignment="1">
      <alignment horizontal="center" wrapText="1"/>
    </xf>
    <xf numFmtId="0" fontId="12" fillId="0" borderId="55" xfId="0" applyFont="1" applyBorder="1" applyAlignment="1">
      <alignment horizontal="center"/>
    </xf>
    <xf numFmtId="0" fontId="25" fillId="0" borderId="56" xfId="0" applyFont="1" applyBorder="1" applyAlignment="1">
      <alignment horizontal="center" wrapText="1"/>
    </xf>
    <xf numFmtId="166" fontId="8" fillId="0" borderId="32" xfId="0" applyNumberFormat="1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12" fillId="0" borderId="45" xfId="0" applyFont="1" applyBorder="1" applyAlignment="1">
      <alignment horizontal="center" wrapText="1"/>
    </xf>
    <xf numFmtId="0" fontId="24" fillId="0" borderId="36" xfId="0" applyFont="1" applyBorder="1" applyAlignment="1">
      <alignment horizontal="center" wrapText="1"/>
    </xf>
    <xf numFmtId="0" fontId="12" fillId="0" borderId="37" xfId="0" applyFont="1" applyBorder="1" applyAlignment="1">
      <alignment horizontal="center"/>
    </xf>
    <xf numFmtId="166" fontId="8" fillId="0" borderId="36" xfId="0" applyNumberFormat="1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164" fontId="7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shrinkToFit="1"/>
    </xf>
    <xf numFmtId="0" fontId="24" fillId="0" borderId="58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3" fillId="0" borderId="37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2" fillId="0" borderId="55" xfId="0" applyFont="1" applyBorder="1" applyAlignment="1">
      <alignment horizontal="center" wrapText="1"/>
    </xf>
    <xf numFmtId="166" fontId="24" fillId="0" borderId="32" xfId="0" applyNumberFormat="1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center" wrapText="1"/>
    </xf>
    <xf numFmtId="166" fontId="33" fillId="0" borderId="32" xfId="0" applyNumberFormat="1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166" fontId="31" fillId="0" borderId="32" xfId="0" applyNumberFormat="1" applyFont="1" applyBorder="1" applyAlignment="1">
      <alignment horizontal="center"/>
    </xf>
    <xf numFmtId="0" fontId="25" fillId="0" borderId="55" xfId="0" applyFont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25" fillId="0" borderId="62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25" fillId="0" borderId="32" xfId="0" applyFont="1" applyBorder="1" applyAlignment="1">
      <alignment wrapText="1"/>
    </xf>
    <xf numFmtId="0" fontId="25" fillId="0" borderId="3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36" xfId="0" applyFont="1" applyBorder="1" applyAlignment="1">
      <alignment horizontal="left" wrapText="1"/>
    </xf>
    <xf numFmtId="0" fontId="23" fillId="6" borderId="21" xfId="0" applyFont="1" applyFill="1" applyBorder="1" applyAlignment="1">
      <alignment horizontal="center" vertical="center" wrapText="1"/>
    </xf>
    <xf numFmtId="0" fontId="2" fillId="6" borderId="63" xfId="0" applyFont="1" applyFill="1" applyBorder="1" applyAlignment="1">
      <alignment horizontal="center" vertical="center" wrapText="1"/>
    </xf>
    <xf numFmtId="0" fontId="2" fillId="6" borderId="64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164" fontId="2" fillId="6" borderId="20" xfId="0" applyNumberFormat="1" applyFont="1" applyFill="1" applyBorder="1" applyAlignment="1">
      <alignment horizontal="center" vertical="center" wrapText="1"/>
    </xf>
    <xf numFmtId="164" fontId="2" fillId="6" borderId="21" xfId="0" applyNumberFormat="1" applyFont="1" applyFill="1" applyBorder="1" applyAlignment="1">
      <alignment horizontal="center" vertical="center" wrapText="1"/>
    </xf>
    <xf numFmtId="164" fontId="2" fillId="6" borderId="65" xfId="0" applyNumberFormat="1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4" fillId="0" borderId="32" xfId="0" applyFont="1" applyBorder="1" applyAlignment="1">
      <alignment horizontal="center" wrapText="1"/>
    </xf>
    <xf numFmtId="0" fontId="3" fillId="0" borderId="66" xfId="0" applyFont="1" applyBorder="1" applyAlignment="1">
      <alignment horizontal="center"/>
    </xf>
    <xf numFmtId="0" fontId="2" fillId="6" borderId="67" xfId="0" applyFont="1" applyFill="1" applyBorder="1" applyAlignment="1">
      <alignment horizontal="center" vertical="center" shrinkToFit="1"/>
    </xf>
    <xf numFmtId="0" fontId="24" fillId="0" borderId="47" xfId="0" applyFont="1" applyBorder="1" applyAlignment="1">
      <alignment horizontal="center"/>
    </xf>
    <xf numFmtId="0" fontId="24" fillId="5" borderId="32" xfId="0" applyFont="1" applyFill="1" applyBorder="1" applyAlignment="1">
      <alignment horizontal="center"/>
    </xf>
    <xf numFmtId="0" fontId="12" fillId="9" borderId="36" xfId="0" applyFont="1" applyFill="1" applyBorder="1" applyAlignment="1">
      <alignment horizontal="left"/>
    </xf>
    <xf numFmtId="164" fontId="8" fillId="0" borderId="36" xfId="0" applyNumberFormat="1" applyFont="1" applyBorder="1" applyAlignment="1">
      <alignment horizontal="center" vertical="center"/>
    </xf>
    <xf numFmtId="164" fontId="14" fillId="10" borderId="14" xfId="0" applyNumberFormat="1" applyFont="1" applyFill="1" applyBorder="1" applyAlignment="1">
      <alignment vertical="center"/>
    </xf>
    <xf numFmtId="164" fontId="14" fillId="11" borderId="14" xfId="0" applyNumberFormat="1" applyFont="1" applyFill="1" applyBorder="1" applyAlignment="1">
      <alignment vertical="center"/>
    </xf>
    <xf numFmtId="164" fontId="15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" fillId="8" borderId="42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10" borderId="43" xfId="0" applyNumberFormat="1" applyFont="1" applyFill="1" applyBorder="1" applyAlignment="1">
      <alignment horizontal="center" vertical="center" wrapText="1"/>
    </xf>
    <xf numFmtId="164" fontId="2" fillId="11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shrinkToFit="1"/>
    </xf>
    <xf numFmtId="0" fontId="8" fillId="9" borderId="46" xfId="0" applyFont="1" applyFill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0" borderId="47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166" fontId="8" fillId="0" borderId="47" xfId="0" applyNumberFormat="1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8" fillId="9" borderId="32" xfId="0" quotePrefix="1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8" fillId="13" borderId="28" xfId="0" applyFont="1" applyFill="1" applyBorder="1" applyAlignment="1">
      <alignment horizontal="center"/>
    </xf>
    <xf numFmtId="0" fontId="24" fillId="0" borderId="28" xfId="0" applyFont="1" applyBorder="1" applyAlignment="1">
      <alignment horizontal="center" wrapText="1"/>
    </xf>
    <xf numFmtId="0" fontId="8" fillId="13" borderId="32" xfId="0" applyFont="1" applyFill="1" applyBorder="1" applyAlignment="1">
      <alignment horizontal="center"/>
    </xf>
    <xf numFmtId="16" fontId="31" fillId="0" borderId="32" xfId="0" applyNumberFormat="1" applyFont="1" applyBorder="1" applyAlignment="1">
      <alignment horizontal="center"/>
    </xf>
    <xf numFmtId="0" fontId="8" fillId="13" borderId="32" xfId="0" applyFont="1" applyFill="1" applyBorder="1" applyAlignment="1">
      <alignment horizontal="center" wrapText="1"/>
    </xf>
    <xf numFmtId="0" fontId="8" fillId="14" borderId="32" xfId="0" applyFont="1" applyFill="1" applyBorder="1" applyAlignment="1">
      <alignment horizontal="center"/>
    </xf>
    <xf numFmtId="0" fontId="31" fillId="0" borderId="32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25" fillId="0" borderId="29" xfId="0" applyFont="1" applyBorder="1" applyAlignment="1">
      <alignment horizontal="center" wrapText="1"/>
    </xf>
    <xf numFmtId="0" fontId="8" fillId="14" borderId="32" xfId="0" applyFont="1" applyFill="1" applyBorder="1" applyAlignment="1">
      <alignment horizontal="center" wrapText="1"/>
    </xf>
    <xf numFmtId="0" fontId="25" fillId="0" borderId="32" xfId="0" applyFont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7" fillId="0" borderId="69" xfId="0" applyFont="1" applyBorder="1" applyAlignment="1">
      <alignment horizontal="center" vertical="center" shrinkToFit="1"/>
    </xf>
    <xf numFmtId="0" fontId="8" fillId="14" borderId="57" xfId="0" applyFont="1" applyFill="1" applyBorder="1" applyAlignment="1">
      <alignment horizontal="center"/>
    </xf>
    <xf numFmtId="0" fontId="30" fillId="0" borderId="0" xfId="0" applyFont="1" applyAlignment="1">
      <alignment horizontal="center" wrapText="1"/>
    </xf>
    <xf numFmtId="0" fontId="10" fillId="0" borderId="71" xfId="0" applyFont="1" applyBorder="1" applyAlignment="1">
      <alignment horizontal="center"/>
    </xf>
    <xf numFmtId="164" fontId="8" fillId="8" borderId="28" xfId="0" applyNumberFormat="1" applyFont="1" applyFill="1" applyBorder="1" applyAlignment="1"/>
    <xf numFmtId="164" fontId="8" fillId="0" borderId="28" xfId="0" applyNumberFormat="1" applyFont="1" applyBorder="1" applyAlignment="1"/>
    <xf numFmtId="164" fontId="8" fillId="10" borderId="28" xfId="0" applyNumberFormat="1" applyFont="1" applyFill="1" applyBorder="1" applyAlignment="1">
      <alignment horizontal="center"/>
    </xf>
    <xf numFmtId="164" fontId="8" fillId="11" borderId="28" xfId="0" applyNumberFormat="1" applyFont="1" applyFill="1" applyBorder="1" applyAlignment="1">
      <alignment horizontal="center"/>
    </xf>
    <xf numFmtId="164" fontId="2" fillId="0" borderId="30" xfId="0" applyNumberFormat="1" applyFont="1" applyBorder="1" applyAlignment="1">
      <alignment wrapText="1"/>
    </xf>
    <xf numFmtId="164" fontId="8" fillId="8" borderId="32" xfId="0" applyNumberFormat="1" applyFont="1" applyFill="1" applyBorder="1" applyAlignment="1"/>
    <xf numFmtId="164" fontId="8" fillId="0" borderId="32" xfId="0" applyNumberFormat="1" applyFont="1" applyBorder="1" applyAlignment="1"/>
    <xf numFmtId="164" fontId="8" fillId="10" borderId="32" xfId="0" applyNumberFormat="1" applyFont="1" applyFill="1" applyBorder="1" applyAlignment="1">
      <alignment horizontal="center"/>
    </xf>
    <xf numFmtId="164" fontId="8" fillId="11" borderId="32" xfId="0" applyNumberFormat="1" applyFont="1" applyFill="1" applyBorder="1" applyAlignment="1">
      <alignment horizontal="center"/>
    </xf>
    <xf numFmtId="164" fontId="2" fillId="0" borderId="34" xfId="0" applyNumberFormat="1" applyFont="1" applyBorder="1" applyAlignment="1">
      <alignment wrapText="1"/>
    </xf>
    <xf numFmtId="164" fontId="8" fillId="8" borderId="36" xfId="0" applyNumberFormat="1" applyFont="1" applyFill="1" applyBorder="1" applyAlignment="1"/>
    <xf numFmtId="164" fontId="8" fillId="0" borderId="36" xfId="0" applyNumberFormat="1" applyFont="1" applyBorder="1" applyAlignment="1"/>
    <xf numFmtId="164" fontId="8" fillId="10" borderId="36" xfId="0" applyNumberFormat="1" applyFont="1" applyFill="1" applyBorder="1" applyAlignment="1">
      <alignment horizontal="center"/>
    </xf>
    <xf numFmtId="164" fontId="8" fillId="11" borderId="36" xfId="0" applyNumberFormat="1" applyFont="1" applyFill="1" applyBorder="1" applyAlignment="1">
      <alignment horizontal="center"/>
    </xf>
    <xf numFmtId="164" fontId="2" fillId="0" borderId="38" xfId="0" applyNumberFormat="1" applyFont="1" applyBorder="1" applyAlignment="1">
      <alignment wrapText="1"/>
    </xf>
    <xf numFmtId="164" fontId="10" fillId="0" borderId="28" xfId="0" applyNumberFormat="1" applyFont="1" applyBorder="1" applyAlignment="1"/>
    <xf numFmtId="164" fontId="10" fillId="0" borderId="32" xfId="0" applyNumberFormat="1" applyFont="1" applyBorder="1" applyAlignment="1"/>
    <xf numFmtId="164" fontId="10" fillId="0" borderId="36" xfId="0" applyNumberFormat="1" applyFont="1" applyBorder="1" applyAlignment="1"/>
    <xf numFmtId="164" fontId="8" fillId="8" borderId="32" xfId="0" applyNumberFormat="1" applyFont="1" applyFill="1" applyBorder="1" applyAlignment="1">
      <alignment horizontal="center"/>
    </xf>
    <xf numFmtId="164" fontId="8" fillId="8" borderId="57" xfId="0" applyNumberFormat="1" applyFont="1" applyFill="1" applyBorder="1" applyAlignment="1"/>
    <xf numFmtId="164" fontId="2" fillId="0" borderId="60" xfId="0" applyNumberFormat="1" applyFont="1" applyBorder="1" applyAlignment="1">
      <alignment wrapText="1"/>
    </xf>
    <xf numFmtId="164" fontId="8" fillId="0" borderId="32" xfId="0" applyNumberFormat="1" applyFont="1" applyBorder="1" applyAlignment="1">
      <alignment horizontal="center"/>
    </xf>
    <xf numFmtId="164" fontId="8" fillId="8" borderId="46" xfId="0" applyNumberFormat="1" applyFont="1" applyFill="1" applyBorder="1" applyAlignment="1"/>
    <xf numFmtId="164" fontId="8" fillId="0" borderId="47" xfId="0" applyNumberFormat="1" applyFont="1" applyBorder="1" applyAlignment="1"/>
    <xf numFmtId="164" fontId="8" fillId="10" borderId="46" xfId="0" applyNumberFormat="1" applyFont="1" applyFill="1" applyBorder="1" applyAlignment="1">
      <alignment horizontal="center"/>
    </xf>
    <xf numFmtId="164" fontId="8" fillId="11" borderId="46" xfId="0" applyNumberFormat="1" applyFont="1" applyFill="1" applyBorder="1" applyAlignment="1">
      <alignment horizontal="center"/>
    </xf>
    <xf numFmtId="164" fontId="2" fillId="0" borderId="48" xfId="0" applyNumberFormat="1" applyFont="1" applyBorder="1" applyAlignment="1">
      <alignment wrapText="1"/>
    </xf>
    <xf numFmtId="164" fontId="8" fillId="10" borderId="57" xfId="0" applyNumberFormat="1" applyFont="1" applyFill="1" applyBorder="1" applyAlignment="1">
      <alignment horizontal="center"/>
    </xf>
    <xf numFmtId="164" fontId="8" fillId="11" borderId="57" xfId="0" applyNumberFormat="1" applyFont="1" applyFill="1" applyBorder="1" applyAlignment="1">
      <alignment horizontal="center"/>
    </xf>
    <xf numFmtId="164" fontId="2" fillId="0" borderId="70" xfId="0" applyNumberFormat="1" applyFont="1" applyBorder="1" applyAlignment="1">
      <alignment wrapText="1"/>
    </xf>
    <xf numFmtId="164" fontId="8" fillId="0" borderId="3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5" fillId="2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7" xfId="0" applyFont="1" applyBorder="1"/>
    <xf numFmtId="0" fontId="5" fillId="3" borderId="1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 vertical="center" shrinkToFit="1"/>
    </xf>
    <xf numFmtId="0" fontId="6" fillId="0" borderId="23" xfId="0" applyFont="1" applyBorder="1"/>
    <xf numFmtId="0" fontId="6" fillId="0" borderId="24" xfId="0" applyFont="1" applyBorder="1"/>
    <xf numFmtId="0" fontId="2" fillId="6" borderId="1" xfId="0" applyFont="1" applyFill="1" applyBorder="1" applyAlignment="1">
      <alignment horizontal="center" vertical="center" shrinkToFit="1"/>
    </xf>
    <xf numFmtId="0" fontId="2" fillId="6" borderId="18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showGridLines="0" tabSelected="1" workbookViewId="0">
      <selection activeCell="F25" sqref="F25"/>
    </sheetView>
  </sheetViews>
  <sheetFormatPr defaultColWidth="14.42578125" defaultRowHeight="15" customHeight="1"/>
  <cols>
    <col min="1" max="1" width="7.42578125" customWidth="1"/>
    <col min="2" max="2" width="12.7109375" customWidth="1"/>
    <col min="3" max="3" width="15.28515625" customWidth="1"/>
    <col min="4" max="4" width="28.5703125" customWidth="1"/>
    <col min="5" max="5" width="30" customWidth="1"/>
    <col min="6" max="6" width="22.5703125" customWidth="1"/>
    <col min="7" max="7" width="26.140625" customWidth="1"/>
    <col min="8" max="8" width="17.5703125" customWidth="1"/>
    <col min="9" max="9" width="17.28515625" customWidth="1"/>
    <col min="10" max="10" width="18" customWidth="1"/>
    <col min="11" max="11" width="8.7109375" customWidth="1"/>
    <col min="12" max="12" width="12.140625" customWidth="1"/>
    <col min="13" max="28" width="8.7109375" customWidth="1"/>
  </cols>
  <sheetData>
    <row r="1" spans="1:28">
      <c r="C1" s="1"/>
      <c r="E1" s="2"/>
      <c r="F1" s="3"/>
      <c r="G1" s="3"/>
      <c r="H1" s="4"/>
      <c r="I1" s="5"/>
      <c r="J1" s="5"/>
    </row>
    <row r="2" spans="1:28" ht="18">
      <c r="A2" s="305" t="s">
        <v>0</v>
      </c>
      <c r="B2" s="306"/>
      <c r="C2" s="306"/>
      <c r="D2" s="306"/>
      <c r="E2" s="306"/>
      <c r="F2" s="306"/>
      <c r="G2" s="306"/>
      <c r="H2" s="306"/>
      <c r="I2" s="306"/>
      <c r="J2" s="30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8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8">
      <c r="A4" s="6"/>
      <c r="B4" s="6"/>
      <c r="C4" s="6"/>
      <c r="D4" s="307" t="s">
        <v>1</v>
      </c>
      <c r="E4" s="308"/>
      <c r="F4" s="309"/>
      <c r="G4" s="8" t="s">
        <v>2</v>
      </c>
      <c r="H4" s="307" t="s">
        <v>2</v>
      </c>
      <c r="I4" s="309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51" customHeight="1">
      <c r="A5" s="9"/>
      <c r="B5" s="10" t="s">
        <v>3</v>
      </c>
      <c r="C5" s="10" t="s">
        <v>4</v>
      </c>
      <c r="D5" s="11" t="s">
        <v>5</v>
      </c>
      <c r="E5" s="11" t="s">
        <v>6</v>
      </c>
      <c r="F5" s="12" t="s">
        <v>7</v>
      </c>
      <c r="G5" s="11" t="s">
        <v>8</v>
      </c>
      <c r="H5" s="13" t="s">
        <v>9</v>
      </c>
      <c r="I5" s="13" t="s">
        <v>10</v>
      </c>
      <c r="J5" s="14" t="s">
        <v>11</v>
      </c>
    </row>
    <row r="6" spans="1:28" ht="24.75" customHeight="1">
      <c r="A6" s="15"/>
      <c r="B6" s="16" t="s">
        <v>12</v>
      </c>
      <c r="C6" s="17" t="s">
        <v>13</v>
      </c>
      <c r="D6" s="18">
        <f>'JAN-19'!M19</f>
        <v>552.27</v>
      </c>
      <c r="E6" s="18">
        <f>'JAN-19'!N19</f>
        <v>1223.47</v>
      </c>
      <c r="F6" s="18">
        <f>'JAN-19'!O19</f>
        <v>0</v>
      </c>
      <c r="G6" s="18">
        <f>'JAN-19'!P21</f>
        <v>577.38669999999991</v>
      </c>
      <c r="H6" s="19">
        <f>'JAN-19'!Q19</f>
        <v>23869.034999999993</v>
      </c>
      <c r="I6" s="19">
        <f>'JAN-19'!R19</f>
        <v>6082.82</v>
      </c>
      <c r="J6" s="20">
        <f t="shared" ref="J6:J17" si="0">D6+E6+F6+G6+H6+I6</f>
        <v>32304.981699999993</v>
      </c>
      <c r="K6" s="21"/>
      <c r="L6" s="22">
        <f>J6-'JAN-19'!S19</f>
        <v>0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4.75" customHeight="1">
      <c r="A7" s="15"/>
      <c r="B7" s="23" t="s">
        <v>14</v>
      </c>
      <c r="C7" s="24" t="s">
        <v>13</v>
      </c>
      <c r="D7" s="25">
        <f>'FEV-19'!M26</f>
        <v>1253.58</v>
      </c>
      <c r="E7" s="25">
        <f>'FEV-19'!N26</f>
        <v>2179.3999999999996</v>
      </c>
      <c r="F7" s="25">
        <f>'FEV-19'!O26</f>
        <v>0</v>
      </c>
      <c r="G7" s="25">
        <f>'FEV-19'!P28</f>
        <v>512.86789999999996</v>
      </c>
      <c r="H7" s="26">
        <f>'FEV-19'!Q26</f>
        <v>34513.099999999991</v>
      </c>
      <c r="I7" s="26">
        <f>'FEV-19'!R26</f>
        <v>11295.669999999998</v>
      </c>
      <c r="J7" s="27">
        <f t="shared" si="0"/>
        <v>49754.61789999999</v>
      </c>
      <c r="K7" s="21"/>
      <c r="L7" s="22">
        <f>J7-'FEV-19'!S26</f>
        <v>0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ht="24.75" customHeight="1">
      <c r="A8" s="15"/>
      <c r="B8" s="28" t="s">
        <v>15</v>
      </c>
      <c r="C8" s="24" t="s">
        <v>13</v>
      </c>
      <c r="D8" s="25">
        <f>'MAR-19'!M34</f>
        <v>2145.65</v>
      </c>
      <c r="E8" s="25">
        <f>'MAR-19'!N34</f>
        <v>1890.1</v>
      </c>
      <c r="F8" s="25">
        <f>'MAR-19'!O34</f>
        <v>0</v>
      </c>
      <c r="G8" s="25">
        <f>'MAR-19'!P36</f>
        <v>887.73950000000002</v>
      </c>
      <c r="H8" s="26">
        <f>'MAR-19'!Q34</f>
        <v>43883.290000000008</v>
      </c>
      <c r="I8" s="26">
        <f>'MAR-19'!R34</f>
        <v>15339.580000000002</v>
      </c>
      <c r="J8" s="27">
        <f t="shared" si="0"/>
        <v>64146.359500000006</v>
      </c>
      <c r="K8" s="21"/>
      <c r="L8" s="22">
        <f>J8-'MAR-19'!S34</f>
        <v>0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24.75" customHeight="1">
      <c r="A9" s="15"/>
      <c r="B9" s="23" t="s">
        <v>16</v>
      </c>
      <c r="C9" s="24" t="s">
        <v>13</v>
      </c>
      <c r="D9" s="25">
        <f>'ABR-19'!M26</f>
        <v>700.11</v>
      </c>
      <c r="E9" s="25">
        <f>'ABR-19'!N26</f>
        <v>1979.7800000000002</v>
      </c>
      <c r="F9" s="25">
        <f>'ABR-19'!O26</f>
        <v>0</v>
      </c>
      <c r="G9" s="25">
        <f>'ABR-19'!P28</f>
        <v>864.5397999999999</v>
      </c>
      <c r="H9" s="26">
        <f>'ABR-19'!Q26</f>
        <v>43149.66</v>
      </c>
      <c r="I9" s="26">
        <f>'ABR-19'!R26</f>
        <v>10346.02</v>
      </c>
      <c r="J9" s="27">
        <f t="shared" si="0"/>
        <v>57040.109800000006</v>
      </c>
      <c r="K9" s="21"/>
      <c r="L9" s="22">
        <f>J9-'ABR-19'!S26</f>
        <v>0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24.75" customHeight="1">
      <c r="A10" s="15"/>
      <c r="B10" s="23" t="s">
        <v>17</v>
      </c>
      <c r="C10" s="24" t="s">
        <v>13</v>
      </c>
      <c r="D10" s="25">
        <f>'MAI-19'!M34</f>
        <v>930.56999999999982</v>
      </c>
      <c r="E10" s="25">
        <f>'MAI-19'!N34</f>
        <v>2863.28</v>
      </c>
      <c r="F10" s="25">
        <f>'MAI-19'!O34</f>
        <v>0</v>
      </c>
      <c r="G10" s="25">
        <f>'MAI-19'!P36</f>
        <v>4330.4356000000007</v>
      </c>
      <c r="H10" s="26">
        <f>'MAI-19'!Q34</f>
        <v>68277.210000000006</v>
      </c>
      <c r="I10" s="26">
        <f>'MAI-19'!R34</f>
        <v>42039.540000000008</v>
      </c>
      <c r="J10" s="27">
        <f t="shared" si="0"/>
        <v>118441.03560000002</v>
      </c>
      <c r="K10" s="21"/>
      <c r="L10" s="22">
        <f>J10-'MAI-19'!S34</f>
        <v>0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24.75" customHeight="1">
      <c r="A11" s="15"/>
      <c r="B11" s="23" t="s">
        <v>18</v>
      </c>
      <c r="C11" s="24" t="s">
        <v>13</v>
      </c>
      <c r="D11" s="25">
        <f>'JUN-19'!M32</f>
        <v>1270.29</v>
      </c>
      <c r="E11" s="25">
        <f>'JUN-19'!N32</f>
        <v>1710.7</v>
      </c>
      <c r="F11" s="25">
        <f>'JUN-19'!O32</f>
        <v>0</v>
      </c>
      <c r="G11" s="25">
        <f>'JUN-19'!P34</f>
        <v>1018.9486000000001</v>
      </c>
      <c r="H11" s="26">
        <f>'JUN-19'!Q32</f>
        <v>43271.240000000005</v>
      </c>
      <c r="I11" s="26">
        <f>'JUN-19'!R32</f>
        <v>5749.3700000000008</v>
      </c>
      <c r="J11" s="27">
        <f t="shared" si="0"/>
        <v>53020.548600000009</v>
      </c>
      <c r="K11" s="21"/>
      <c r="L11" s="22">
        <f>J11-'JUN-19'!S32</f>
        <v>0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ht="24.75" customHeight="1">
      <c r="A12" s="15"/>
      <c r="B12" s="23" t="s">
        <v>19</v>
      </c>
      <c r="C12" s="24" t="s">
        <v>13</v>
      </c>
      <c r="D12" s="25">
        <f>'JUL-19'!M29</f>
        <v>826.1</v>
      </c>
      <c r="E12" s="25">
        <f>'JUL-19'!N29</f>
        <v>1034.3100000000002</v>
      </c>
      <c r="F12" s="25">
        <f>'JUL-19'!O29</f>
        <v>0</v>
      </c>
      <c r="G12" s="25">
        <f>'JUL-19'!P31</f>
        <v>725.98799999999994</v>
      </c>
      <c r="H12" s="26">
        <f>'JUL-19'!Q29</f>
        <v>42697.520000000004</v>
      </c>
      <c r="I12" s="26">
        <f>'JUL-19'!R29</f>
        <v>5471.35</v>
      </c>
      <c r="J12" s="27">
        <f t="shared" si="0"/>
        <v>50755.268000000004</v>
      </c>
      <c r="K12" s="21"/>
      <c r="L12" s="22">
        <f>J12-'JUL-19'!S29</f>
        <v>0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24.75" customHeight="1">
      <c r="A13" s="15"/>
      <c r="B13" s="28" t="s">
        <v>20</v>
      </c>
      <c r="C13" s="24" t="s">
        <v>13</v>
      </c>
      <c r="D13" s="25">
        <f>'AGO-19'!N24</f>
        <v>1061.58</v>
      </c>
      <c r="E13" s="25">
        <f>'AGO-19'!O24</f>
        <v>1109.8</v>
      </c>
      <c r="F13" s="25">
        <f>'AGO-19'!P24</f>
        <v>0</v>
      </c>
      <c r="G13" s="25">
        <f>'AGO-19'!Q26</f>
        <v>714.46389999999997</v>
      </c>
      <c r="H13" s="26">
        <f>'AGO-19'!R24</f>
        <v>30584.920000000006</v>
      </c>
      <c r="I13" s="26">
        <f>'AGO-19'!S24</f>
        <v>6971.9500000000007</v>
      </c>
      <c r="J13" s="27">
        <f t="shared" si="0"/>
        <v>40442.713900000002</v>
      </c>
      <c r="K13" s="21"/>
      <c r="L13" s="22">
        <f>J13-'AGO-19'!T24</f>
        <v>0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24.75" customHeight="1">
      <c r="A14" s="15"/>
      <c r="B14" s="28" t="s">
        <v>21</v>
      </c>
      <c r="C14" s="24" t="s">
        <v>13</v>
      </c>
      <c r="D14" s="25">
        <f>'SET-19'!M30</f>
        <v>1998.7700000000002</v>
      </c>
      <c r="E14" s="25">
        <f>'SET-19'!N30</f>
        <v>1911.95</v>
      </c>
      <c r="F14" s="25">
        <f>'SET-19'!O30</f>
        <v>0</v>
      </c>
      <c r="G14" s="25">
        <f>'SET-19'!P32</f>
        <v>31.491800000000001</v>
      </c>
      <c r="H14" s="26">
        <f>'SET-19'!Q30</f>
        <v>51055.07</v>
      </c>
      <c r="I14" s="26">
        <f>'SET-19'!R30</f>
        <v>9703.1999999999989</v>
      </c>
      <c r="J14" s="27">
        <f t="shared" si="0"/>
        <v>64700.481799999994</v>
      </c>
      <c r="K14" s="21"/>
      <c r="L14" s="22">
        <f>J14-'SET-19'!S30</f>
        <v>0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24.75" customHeight="1">
      <c r="A15" s="15"/>
      <c r="B15" s="28" t="s">
        <v>22</v>
      </c>
      <c r="C15" s="24" t="s">
        <v>13</v>
      </c>
      <c r="D15" s="25">
        <f>'OUT-19'!M31</f>
        <v>1556.25</v>
      </c>
      <c r="E15" s="25">
        <f>'OUT-19'!N31</f>
        <v>4551.8600000000006</v>
      </c>
      <c r="F15" s="25">
        <f>'OUT-19'!O31</f>
        <v>0</v>
      </c>
      <c r="G15" s="25">
        <f>'OUT-19'!P33</f>
        <v>133.72400000000002</v>
      </c>
      <c r="H15" s="26">
        <f>'OUT-19'!Q31</f>
        <v>54443.329999999994</v>
      </c>
      <c r="I15" s="26">
        <f>'OUT-19'!R31</f>
        <v>31849.150000000009</v>
      </c>
      <c r="J15" s="27">
        <f t="shared" si="0"/>
        <v>92534.314000000013</v>
      </c>
      <c r="K15" s="21"/>
      <c r="L15" s="22">
        <f>J15-'OUT-19'!S31</f>
        <v>0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24.75" customHeight="1">
      <c r="A16" s="15"/>
      <c r="B16" s="28" t="s">
        <v>23</v>
      </c>
      <c r="C16" s="24" t="s">
        <v>13</v>
      </c>
      <c r="D16" s="25">
        <f>'NOV-19'!M34</f>
        <v>1385.7199999999998</v>
      </c>
      <c r="E16" s="25">
        <f>'NOV-19'!N34</f>
        <v>2334.7500000000005</v>
      </c>
      <c r="F16" s="25">
        <f>'NOV-19'!O34</f>
        <v>0</v>
      </c>
      <c r="G16" s="25">
        <f>'NOV-19'!P36</f>
        <v>724.4932</v>
      </c>
      <c r="H16" s="26">
        <f>'NOV-19'!Q34</f>
        <v>52832.989999999976</v>
      </c>
      <c r="I16" s="26">
        <f>'NOV-19'!R34</f>
        <v>16086.810000000003</v>
      </c>
      <c r="J16" s="27">
        <f t="shared" si="0"/>
        <v>73364.763199999972</v>
      </c>
      <c r="K16" s="21"/>
      <c r="L16" s="22">
        <f>J16-'NOV-19'!S34</f>
        <v>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24.75" customHeight="1">
      <c r="A17" s="15"/>
      <c r="B17" s="29" t="s">
        <v>24</v>
      </c>
      <c r="C17" s="30" t="s">
        <v>13</v>
      </c>
      <c r="D17" s="31">
        <f>'DEZ-19'!M20</f>
        <v>72</v>
      </c>
      <c r="E17" s="31">
        <f>'DEZ-19'!N20</f>
        <v>441.4</v>
      </c>
      <c r="F17" s="31">
        <f>'DEZ-19'!O20</f>
        <v>0</v>
      </c>
      <c r="G17" s="31">
        <f>'DEZ-19'!P22</f>
        <v>212.1</v>
      </c>
      <c r="H17" s="32">
        <f>'DEZ-19'!Q20</f>
        <v>13991.060000000001</v>
      </c>
      <c r="I17" s="32">
        <f>'DEZ-19'!R20</f>
        <v>1540.5</v>
      </c>
      <c r="J17" s="33">
        <f t="shared" si="0"/>
        <v>16257.060000000001</v>
      </c>
      <c r="K17" s="21"/>
      <c r="L17" s="22">
        <f>J17-'DEZ-19'!S20</f>
        <v>0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>
      <c r="A18" s="34"/>
      <c r="B18" s="34"/>
      <c r="C18" s="35"/>
      <c r="D18" s="36"/>
      <c r="E18" s="36"/>
      <c r="F18" s="37"/>
      <c r="G18" s="37"/>
      <c r="H18" s="38"/>
      <c r="I18" s="39"/>
      <c r="J18" s="40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15.75">
      <c r="A19" s="41"/>
      <c r="B19" s="41"/>
      <c r="C19" s="42" t="s">
        <v>25</v>
      </c>
      <c r="D19" s="43">
        <f t="shared" ref="D19:I19" si="1">SUM(D6:D17)</f>
        <v>13752.89</v>
      </c>
      <c r="E19" s="44">
        <f t="shared" si="1"/>
        <v>23230.800000000003</v>
      </c>
      <c r="F19" s="43">
        <f t="shared" si="1"/>
        <v>0</v>
      </c>
      <c r="G19" s="43">
        <f t="shared" si="1"/>
        <v>10734.179000000002</v>
      </c>
      <c r="H19" s="45">
        <f t="shared" si="1"/>
        <v>502568.42499999999</v>
      </c>
      <c r="I19" s="45">
        <f t="shared" si="1"/>
        <v>162475.96000000002</v>
      </c>
      <c r="J19" s="46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</row>
    <row r="20" spans="1:28" ht="15.75">
      <c r="A20" s="47"/>
      <c r="B20" s="47"/>
      <c r="C20" s="47"/>
      <c r="D20" s="310"/>
      <c r="E20" s="306"/>
      <c r="F20" s="48"/>
      <c r="G20" s="48"/>
      <c r="H20" s="47"/>
      <c r="I20" s="47"/>
      <c r="J20" s="49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</row>
    <row r="21" spans="1:28" ht="15.75" customHeight="1">
      <c r="A21" s="47"/>
      <c r="B21" s="47"/>
      <c r="C21" s="47"/>
      <c r="D21" s="47"/>
      <c r="E21" s="50"/>
      <c r="F21" s="48"/>
      <c r="G21" s="48"/>
      <c r="H21" s="51"/>
      <c r="I21" s="52"/>
      <c r="J21" s="53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</row>
    <row r="22" spans="1:28" ht="15.75" customHeight="1">
      <c r="A22" s="47"/>
      <c r="B22" s="47"/>
      <c r="C22" s="47"/>
      <c r="D22" s="311"/>
      <c r="E22" s="306"/>
      <c r="F22" s="48"/>
      <c r="G22" s="48"/>
      <c r="H22" s="54" t="s">
        <v>26</v>
      </c>
      <c r="I22" s="55">
        <f>D19+E19+F19+G19+H19+I19</f>
        <v>712762.25399999996</v>
      </c>
      <c r="J22" s="56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</row>
    <row r="23" spans="1:28" ht="15.75" customHeight="1">
      <c r="B23" s="2" t="s">
        <v>27</v>
      </c>
      <c r="C23" s="2"/>
      <c r="D23" s="57">
        <v>44000</v>
      </c>
      <c r="E23" s="2"/>
      <c r="F23" s="3"/>
      <c r="G23" s="3"/>
      <c r="H23" s="4"/>
      <c r="I23" s="5"/>
      <c r="J23" s="5"/>
    </row>
    <row r="24" spans="1:28" ht="15.75" customHeight="1">
      <c r="C24" s="1"/>
      <c r="D24" s="1"/>
      <c r="E24" s="2"/>
      <c r="F24" s="3"/>
      <c r="G24" s="3"/>
      <c r="H24" s="4"/>
      <c r="I24" s="5"/>
      <c r="J24" s="58" t="s">
        <v>28</v>
      </c>
    </row>
    <row r="25" spans="1:28" ht="15.75" customHeight="1">
      <c r="C25" s="1"/>
      <c r="D25" s="1"/>
      <c r="E25" s="2"/>
      <c r="F25" s="3"/>
      <c r="G25" s="3"/>
      <c r="H25" s="4"/>
      <c r="I25" s="5"/>
      <c r="J25" s="59">
        <f>I22-J6-J7-J8-J9-J10-J11-J12-J13-J14-J15-J16-J17</f>
        <v>0</v>
      </c>
    </row>
    <row r="26" spans="1:28" ht="15.75" customHeight="1">
      <c r="B26" s="60"/>
      <c r="C26" s="60"/>
      <c r="D26" s="60"/>
      <c r="E26" s="2"/>
      <c r="F26" s="3"/>
      <c r="G26" s="3"/>
      <c r="H26" s="4"/>
      <c r="I26" s="5"/>
      <c r="J26" s="5"/>
    </row>
    <row r="27" spans="1:28" ht="15.75" customHeight="1">
      <c r="B27" s="60" t="s">
        <v>29</v>
      </c>
      <c r="C27" s="60"/>
      <c r="D27" s="60"/>
      <c r="E27" s="2"/>
      <c r="F27" s="3"/>
      <c r="G27" s="3"/>
      <c r="H27" s="4"/>
      <c r="I27" s="5"/>
      <c r="J27" s="5"/>
    </row>
    <row r="28" spans="1:28" ht="15.75" customHeight="1">
      <c r="C28" s="1"/>
      <c r="D28" s="1"/>
      <c r="E28" s="2"/>
      <c r="F28" s="3"/>
      <c r="G28" s="3"/>
      <c r="H28" s="4"/>
      <c r="I28" s="5"/>
      <c r="J28" s="5"/>
    </row>
    <row r="29" spans="1:28" ht="15.75" customHeight="1">
      <c r="B29" s="60" t="s">
        <v>30</v>
      </c>
      <c r="C29" s="60"/>
      <c r="D29" s="60"/>
      <c r="E29" s="61"/>
      <c r="F29" s="3"/>
      <c r="G29" s="3"/>
      <c r="H29" s="4"/>
      <c r="I29" s="5"/>
      <c r="J29" s="5"/>
    </row>
    <row r="30" spans="1:28" ht="15.75" customHeight="1">
      <c r="B30" s="62" t="s">
        <v>31</v>
      </c>
      <c r="C30" s="1"/>
      <c r="E30" s="2"/>
      <c r="F30" s="3"/>
      <c r="G30" s="3"/>
      <c r="H30" s="4"/>
      <c r="I30" s="5"/>
      <c r="J30" s="5"/>
    </row>
    <row r="31" spans="1:28" ht="15.75" customHeight="1">
      <c r="B31" s="62" t="s">
        <v>32</v>
      </c>
      <c r="C31" s="1"/>
      <c r="D31" s="1"/>
      <c r="E31" s="2"/>
      <c r="F31" s="3"/>
      <c r="G31" s="3"/>
      <c r="H31" s="4"/>
      <c r="I31" s="5"/>
      <c r="J31" s="5"/>
    </row>
    <row r="32" spans="1:28" ht="15.75" customHeight="1">
      <c r="C32" s="1"/>
      <c r="D32" s="1"/>
      <c r="E32" s="2"/>
      <c r="F32" s="3"/>
      <c r="G32" s="3"/>
      <c r="H32" s="4"/>
      <c r="I32" s="5"/>
      <c r="J32" s="5"/>
    </row>
    <row r="33" spans="3:10" ht="15.75" customHeight="1">
      <c r="C33" s="1"/>
      <c r="D33" s="1"/>
      <c r="E33" s="2"/>
      <c r="F33" s="3"/>
      <c r="G33" s="3"/>
      <c r="H33" s="4"/>
      <c r="I33" s="5"/>
      <c r="J33" s="5"/>
    </row>
    <row r="34" spans="3:10" ht="15.75" customHeight="1">
      <c r="C34" s="1"/>
      <c r="D34" s="1"/>
      <c r="E34" s="2"/>
      <c r="F34" s="3"/>
      <c r="G34" s="3"/>
      <c r="H34" s="4"/>
      <c r="I34" s="5"/>
      <c r="J34" s="5"/>
    </row>
    <row r="35" spans="3:10" ht="15.75" customHeight="1">
      <c r="C35" s="1"/>
      <c r="D35" s="1"/>
      <c r="E35" s="2"/>
      <c r="F35" s="3"/>
      <c r="G35" s="3"/>
      <c r="H35" s="4"/>
      <c r="I35" s="5"/>
      <c r="J35" s="5"/>
    </row>
    <row r="36" spans="3:10" ht="15.75" customHeight="1">
      <c r="C36" s="1"/>
      <c r="D36" s="1"/>
      <c r="E36" s="2"/>
      <c r="F36" s="3"/>
      <c r="G36" s="3"/>
      <c r="H36" s="4"/>
      <c r="I36" s="5"/>
      <c r="J36" s="5"/>
    </row>
    <row r="37" spans="3:10" ht="15.75" customHeight="1">
      <c r="C37" s="1"/>
      <c r="D37" s="1"/>
      <c r="E37" s="2"/>
    </row>
    <row r="38" spans="3:10" ht="15.75" customHeight="1">
      <c r="C38" s="1"/>
      <c r="D38" s="1"/>
      <c r="E38" s="2"/>
    </row>
    <row r="39" spans="3:10" ht="15.75" customHeight="1">
      <c r="C39" s="1"/>
      <c r="D39" s="1"/>
      <c r="E39" s="2"/>
    </row>
    <row r="40" spans="3:10" ht="15.75" customHeight="1">
      <c r="C40" s="1"/>
      <c r="D40" s="1"/>
      <c r="E40" s="2"/>
    </row>
    <row r="41" spans="3:10" ht="15.75" customHeight="1">
      <c r="C41" s="1"/>
      <c r="D41" s="1"/>
      <c r="E41" s="2"/>
    </row>
    <row r="42" spans="3:10" ht="15.75" customHeight="1">
      <c r="C42" s="1"/>
      <c r="D42" s="1"/>
      <c r="E42" s="2"/>
    </row>
    <row r="43" spans="3:10" ht="15.75" customHeight="1">
      <c r="C43" s="1"/>
      <c r="D43" s="1"/>
      <c r="E43" s="2"/>
    </row>
    <row r="44" spans="3:10" ht="15.75" customHeight="1">
      <c r="C44" s="1"/>
      <c r="D44" s="1"/>
      <c r="E44" s="2"/>
    </row>
    <row r="45" spans="3:10" ht="15.75" customHeight="1">
      <c r="C45" s="1"/>
      <c r="D45" s="1"/>
      <c r="E45" s="2"/>
    </row>
    <row r="46" spans="3:10" ht="15.75" customHeight="1">
      <c r="C46" s="1"/>
      <c r="D46" s="1"/>
      <c r="E46" s="2"/>
    </row>
    <row r="47" spans="3:10" ht="15.75" customHeight="1">
      <c r="C47" s="1"/>
      <c r="D47" s="1"/>
      <c r="E47" s="2"/>
    </row>
    <row r="48" spans="3:10" ht="15.75" customHeight="1">
      <c r="C48" s="1"/>
      <c r="D48" s="1"/>
      <c r="E48" s="2"/>
    </row>
    <row r="49" spans="3:5" ht="15.75" customHeight="1">
      <c r="C49" s="1"/>
      <c r="D49" s="1"/>
      <c r="E49" s="2"/>
    </row>
    <row r="50" spans="3:5" ht="15.75" customHeight="1">
      <c r="C50" s="1"/>
      <c r="D50" s="1"/>
      <c r="E50" s="2"/>
    </row>
    <row r="51" spans="3:5" ht="15.75" customHeight="1">
      <c r="C51" s="1"/>
      <c r="D51" s="1"/>
      <c r="E51" s="2"/>
    </row>
    <row r="52" spans="3:5" ht="15.75" customHeight="1">
      <c r="C52" s="1"/>
      <c r="D52" s="1"/>
      <c r="E52" s="2"/>
    </row>
    <row r="53" spans="3:5" ht="15.75" customHeight="1">
      <c r="C53" s="1"/>
      <c r="D53" s="1"/>
      <c r="E53" s="2"/>
    </row>
    <row r="54" spans="3:5" ht="15.75" customHeight="1">
      <c r="C54" s="1"/>
      <c r="D54" s="1"/>
      <c r="E54" s="2"/>
    </row>
    <row r="55" spans="3:5" ht="15.75" customHeight="1">
      <c r="C55" s="1"/>
      <c r="D55" s="1"/>
      <c r="E55" s="2"/>
    </row>
    <row r="56" spans="3:5" ht="15.75" customHeight="1">
      <c r="C56" s="1"/>
      <c r="D56" s="1"/>
      <c r="E56" s="2"/>
    </row>
    <row r="57" spans="3:5" ht="15.75" customHeight="1">
      <c r="C57" s="1"/>
      <c r="D57" s="1"/>
      <c r="E57" s="2"/>
    </row>
    <row r="58" spans="3:5" ht="15.75" customHeight="1">
      <c r="C58" s="1"/>
      <c r="D58" s="1"/>
      <c r="E58" s="2"/>
    </row>
    <row r="59" spans="3:5" ht="15.75" customHeight="1">
      <c r="C59" s="1"/>
      <c r="D59" s="1"/>
      <c r="E59" s="2"/>
    </row>
    <row r="60" spans="3:5" ht="15.75" customHeight="1">
      <c r="C60" s="1"/>
      <c r="D60" s="1"/>
      <c r="E60" s="2"/>
    </row>
    <row r="61" spans="3:5" ht="15.75" customHeight="1">
      <c r="C61" s="1"/>
      <c r="D61" s="1"/>
      <c r="E61" s="2"/>
    </row>
    <row r="62" spans="3:5" ht="15.75" customHeight="1">
      <c r="C62" s="1"/>
      <c r="D62" s="1"/>
      <c r="E62" s="2"/>
    </row>
    <row r="63" spans="3:5" ht="15.75" customHeight="1">
      <c r="C63" s="1"/>
      <c r="D63" s="1"/>
      <c r="E63" s="2"/>
    </row>
    <row r="64" spans="3:5" ht="15.75" customHeight="1">
      <c r="C64" s="1"/>
      <c r="D64" s="1"/>
      <c r="E64" s="2"/>
    </row>
    <row r="65" spans="3:5" ht="15.75" customHeight="1">
      <c r="C65" s="1"/>
      <c r="D65" s="1"/>
      <c r="E65" s="2"/>
    </row>
    <row r="66" spans="3:5" ht="15.75" customHeight="1">
      <c r="C66" s="1"/>
      <c r="D66" s="1"/>
      <c r="E66" s="2"/>
    </row>
    <row r="67" spans="3:5" ht="15.75" customHeight="1">
      <c r="C67" s="1"/>
      <c r="D67" s="1"/>
      <c r="E67" s="2"/>
    </row>
    <row r="68" spans="3:5" ht="15.75" customHeight="1">
      <c r="C68" s="1"/>
      <c r="D68" s="1"/>
      <c r="E68" s="2"/>
    </row>
    <row r="69" spans="3:5" ht="15.75" customHeight="1">
      <c r="C69" s="1"/>
      <c r="D69" s="1"/>
      <c r="E69" s="2"/>
    </row>
    <row r="70" spans="3:5" ht="15.75" customHeight="1">
      <c r="C70" s="1"/>
      <c r="D70" s="1"/>
      <c r="E70" s="2"/>
    </row>
    <row r="71" spans="3:5" ht="15.75" customHeight="1">
      <c r="C71" s="1"/>
      <c r="D71" s="1"/>
      <c r="E71" s="2"/>
    </row>
    <row r="72" spans="3:5" ht="15.75" customHeight="1">
      <c r="C72" s="1"/>
      <c r="D72" s="1"/>
      <c r="E72" s="2"/>
    </row>
    <row r="73" spans="3:5" ht="15.75" customHeight="1">
      <c r="C73" s="1"/>
      <c r="D73" s="1"/>
      <c r="E73" s="2"/>
    </row>
    <row r="74" spans="3:5" ht="15.75" customHeight="1">
      <c r="C74" s="1"/>
      <c r="D74" s="1"/>
      <c r="E74" s="2"/>
    </row>
    <row r="75" spans="3:5" ht="15.75" customHeight="1">
      <c r="C75" s="1"/>
      <c r="D75" s="1"/>
      <c r="E75" s="2"/>
    </row>
    <row r="76" spans="3:5" ht="15.75" customHeight="1">
      <c r="C76" s="1"/>
      <c r="D76" s="1"/>
      <c r="E76" s="2"/>
    </row>
    <row r="77" spans="3:5" ht="15.75" customHeight="1">
      <c r="C77" s="1"/>
      <c r="D77" s="1"/>
      <c r="E77" s="2"/>
    </row>
    <row r="78" spans="3:5" ht="15.75" customHeight="1">
      <c r="C78" s="1"/>
      <c r="D78" s="1"/>
      <c r="E78" s="2"/>
    </row>
    <row r="79" spans="3:5" ht="15.75" customHeight="1">
      <c r="C79" s="1"/>
      <c r="D79" s="1"/>
      <c r="E79" s="2"/>
    </row>
    <row r="80" spans="3:5" ht="15.75" customHeight="1">
      <c r="C80" s="1"/>
      <c r="D80" s="1"/>
      <c r="E80" s="2"/>
    </row>
    <row r="81" spans="3:5" ht="15.75" customHeight="1">
      <c r="C81" s="1"/>
      <c r="D81" s="1"/>
      <c r="E81" s="2"/>
    </row>
    <row r="82" spans="3:5" ht="15.75" customHeight="1">
      <c r="C82" s="1"/>
      <c r="D82" s="1"/>
      <c r="E82" s="2"/>
    </row>
    <row r="83" spans="3:5" ht="15.75" customHeight="1">
      <c r="C83" s="1"/>
      <c r="D83" s="1"/>
      <c r="E83" s="2"/>
    </row>
    <row r="84" spans="3:5" ht="15.75" customHeight="1">
      <c r="C84" s="1"/>
      <c r="D84" s="1"/>
      <c r="E84" s="2"/>
    </row>
    <row r="85" spans="3:5" ht="15.75" customHeight="1">
      <c r="C85" s="1"/>
      <c r="D85" s="1"/>
      <c r="E85" s="2"/>
    </row>
    <row r="86" spans="3:5" ht="15.75" customHeight="1">
      <c r="C86" s="1"/>
      <c r="D86" s="1"/>
      <c r="E86" s="2"/>
    </row>
    <row r="87" spans="3:5" ht="15.75" customHeight="1">
      <c r="C87" s="1"/>
      <c r="D87" s="1"/>
      <c r="E87" s="2"/>
    </row>
    <row r="88" spans="3:5" ht="15.75" customHeight="1">
      <c r="C88" s="1"/>
      <c r="D88" s="1"/>
      <c r="E88" s="2"/>
    </row>
    <row r="89" spans="3:5" ht="15.75" customHeight="1">
      <c r="C89" s="1"/>
      <c r="D89" s="1"/>
      <c r="E89" s="2"/>
    </row>
    <row r="90" spans="3:5" ht="15.75" customHeight="1">
      <c r="C90" s="1"/>
      <c r="D90" s="1"/>
      <c r="E90" s="2"/>
    </row>
    <row r="91" spans="3:5" ht="15.75" customHeight="1">
      <c r="C91" s="1"/>
      <c r="D91" s="1"/>
      <c r="E91" s="2"/>
    </row>
    <row r="92" spans="3:5" ht="15.75" customHeight="1">
      <c r="C92" s="1"/>
      <c r="D92" s="1"/>
      <c r="E92" s="2"/>
    </row>
    <row r="93" spans="3:5" ht="15.75" customHeight="1">
      <c r="C93" s="1"/>
      <c r="D93" s="1"/>
      <c r="E93" s="2"/>
    </row>
    <row r="94" spans="3:5" ht="15.75" customHeight="1">
      <c r="C94" s="1"/>
      <c r="D94" s="1"/>
      <c r="E94" s="2"/>
    </row>
    <row r="95" spans="3:5" ht="15.75" customHeight="1">
      <c r="C95" s="1"/>
      <c r="D95" s="1"/>
      <c r="E95" s="2"/>
    </row>
    <row r="96" spans="3:5" ht="15.75" customHeight="1">
      <c r="C96" s="1"/>
      <c r="D96" s="1"/>
      <c r="E96" s="2"/>
    </row>
    <row r="97" spans="3:10" ht="15.75" customHeight="1">
      <c r="C97" s="1"/>
      <c r="D97" s="1"/>
      <c r="E97" s="2"/>
    </row>
    <row r="98" spans="3:10" ht="15.75" customHeight="1">
      <c r="C98" s="1"/>
      <c r="D98" s="1"/>
      <c r="E98" s="2"/>
    </row>
    <row r="99" spans="3:10" ht="15.75" customHeight="1">
      <c r="C99" s="1"/>
      <c r="D99" s="1"/>
      <c r="E99" s="2"/>
    </row>
    <row r="100" spans="3:10" ht="15.75" customHeight="1">
      <c r="C100" s="1"/>
      <c r="D100" s="1"/>
      <c r="E100" s="2"/>
    </row>
    <row r="101" spans="3:10" ht="15.75" customHeight="1">
      <c r="C101" s="1"/>
      <c r="E101" s="2"/>
      <c r="F101" s="3"/>
      <c r="G101" s="3"/>
      <c r="H101" s="4"/>
      <c r="I101" s="5"/>
      <c r="J101" s="5"/>
    </row>
    <row r="102" spans="3:10" ht="15.75" customHeight="1">
      <c r="C102" s="1"/>
      <c r="E102" s="2"/>
      <c r="F102" s="3"/>
      <c r="G102" s="3"/>
      <c r="H102" s="4"/>
      <c r="I102" s="5"/>
      <c r="J102" s="5"/>
    </row>
    <row r="103" spans="3:10" ht="15.75" customHeight="1">
      <c r="C103" s="1"/>
      <c r="E103" s="2"/>
      <c r="F103" s="3"/>
      <c r="G103" s="3"/>
      <c r="H103" s="4"/>
      <c r="I103" s="5"/>
      <c r="J103" s="5"/>
    </row>
    <row r="104" spans="3:10" ht="15.75" customHeight="1">
      <c r="C104" s="1"/>
      <c r="E104" s="2"/>
      <c r="F104" s="3"/>
      <c r="G104" s="3"/>
      <c r="H104" s="4"/>
      <c r="I104" s="5"/>
      <c r="J104" s="5"/>
    </row>
    <row r="105" spans="3:10" ht="15.75" customHeight="1">
      <c r="C105" s="1"/>
      <c r="E105" s="2"/>
      <c r="F105" s="3"/>
      <c r="G105" s="3"/>
      <c r="H105" s="4"/>
      <c r="I105" s="5"/>
      <c r="J105" s="5"/>
    </row>
    <row r="106" spans="3:10" ht="15.75" customHeight="1">
      <c r="C106" s="1"/>
      <c r="E106" s="2"/>
      <c r="F106" s="3"/>
      <c r="G106" s="3"/>
      <c r="H106" s="4"/>
      <c r="I106" s="5"/>
      <c r="J106" s="5"/>
    </row>
    <row r="107" spans="3:10" ht="15.75" customHeight="1">
      <c r="C107" s="1"/>
      <c r="E107" s="2"/>
      <c r="F107" s="3"/>
      <c r="G107" s="3"/>
      <c r="H107" s="4"/>
      <c r="I107" s="5"/>
      <c r="J107" s="5"/>
    </row>
    <row r="108" spans="3:10" ht="15.75" customHeight="1">
      <c r="C108" s="1"/>
      <c r="E108" s="2"/>
      <c r="F108" s="3"/>
      <c r="G108" s="3"/>
      <c r="H108" s="4"/>
      <c r="I108" s="5"/>
      <c r="J108" s="5"/>
    </row>
    <row r="109" spans="3:10" ht="15.75" customHeight="1">
      <c r="C109" s="1"/>
      <c r="E109" s="2"/>
      <c r="F109" s="3"/>
      <c r="G109" s="3"/>
      <c r="H109" s="4"/>
      <c r="I109" s="5"/>
      <c r="J109" s="5"/>
    </row>
    <row r="110" spans="3:10" ht="15.75" customHeight="1">
      <c r="C110" s="1"/>
      <c r="E110" s="2"/>
      <c r="F110" s="3"/>
      <c r="G110" s="3"/>
      <c r="H110" s="4"/>
      <c r="I110" s="5"/>
      <c r="J110" s="5"/>
    </row>
    <row r="111" spans="3:10" ht="15.75" customHeight="1">
      <c r="C111" s="1"/>
      <c r="E111" s="2"/>
      <c r="F111" s="3"/>
      <c r="G111" s="3"/>
      <c r="H111" s="4"/>
      <c r="I111" s="5"/>
      <c r="J111" s="5"/>
    </row>
    <row r="112" spans="3:10" ht="15.75" customHeight="1">
      <c r="C112" s="1"/>
      <c r="E112" s="2"/>
      <c r="F112" s="3"/>
      <c r="G112" s="3"/>
      <c r="H112" s="4"/>
      <c r="I112" s="5"/>
      <c r="J112" s="5"/>
    </row>
    <row r="113" spans="3:10" ht="15.75" customHeight="1">
      <c r="C113" s="1"/>
      <c r="E113" s="2"/>
      <c r="F113" s="3"/>
      <c r="G113" s="3"/>
      <c r="H113" s="4"/>
      <c r="I113" s="5"/>
      <c r="J113" s="5"/>
    </row>
    <row r="114" spans="3:10" ht="15.75" customHeight="1">
      <c r="C114" s="1"/>
      <c r="E114" s="2"/>
      <c r="F114" s="3"/>
      <c r="G114" s="3"/>
      <c r="H114" s="4"/>
      <c r="I114" s="5"/>
      <c r="J114" s="5"/>
    </row>
    <row r="115" spans="3:10" ht="15.75" customHeight="1">
      <c r="C115" s="1"/>
      <c r="E115" s="2"/>
      <c r="F115" s="3"/>
      <c r="G115" s="3"/>
      <c r="H115" s="4"/>
      <c r="I115" s="5"/>
      <c r="J115" s="5"/>
    </row>
    <row r="116" spans="3:10" ht="15.75" customHeight="1">
      <c r="C116" s="1"/>
      <c r="E116" s="2"/>
      <c r="F116" s="3"/>
      <c r="G116" s="3"/>
      <c r="H116" s="4"/>
      <c r="I116" s="5"/>
      <c r="J116" s="5"/>
    </row>
    <row r="117" spans="3:10" ht="15.75" customHeight="1">
      <c r="C117" s="1"/>
      <c r="E117" s="2"/>
      <c r="F117" s="3"/>
      <c r="G117" s="3"/>
      <c r="H117" s="4"/>
      <c r="I117" s="5"/>
      <c r="J117" s="5"/>
    </row>
    <row r="118" spans="3:10" ht="15.75" customHeight="1">
      <c r="C118" s="1"/>
      <c r="E118" s="2"/>
      <c r="F118" s="3"/>
      <c r="G118" s="3"/>
      <c r="H118" s="4"/>
      <c r="I118" s="5"/>
      <c r="J118" s="5"/>
    </row>
    <row r="119" spans="3:10" ht="15.75" customHeight="1">
      <c r="C119" s="1"/>
      <c r="E119" s="2"/>
      <c r="F119" s="3"/>
      <c r="G119" s="3"/>
      <c r="H119" s="4"/>
      <c r="I119" s="5"/>
      <c r="J119" s="5"/>
    </row>
    <row r="120" spans="3:10" ht="15.75" customHeight="1">
      <c r="C120" s="1"/>
      <c r="E120" s="2"/>
      <c r="F120" s="3"/>
      <c r="G120" s="3"/>
      <c r="H120" s="4"/>
      <c r="I120" s="5"/>
      <c r="J120" s="5"/>
    </row>
    <row r="121" spans="3:10" ht="15.75" customHeight="1">
      <c r="C121" s="1"/>
      <c r="E121" s="2"/>
      <c r="F121" s="3"/>
      <c r="G121" s="3"/>
      <c r="H121" s="4"/>
      <c r="I121" s="5"/>
      <c r="J121" s="5"/>
    </row>
    <row r="122" spans="3:10" ht="15.75" customHeight="1">
      <c r="C122" s="1"/>
      <c r="E122" s="2"/>
      <c r="F122" s="3"/>
      <c r="G122" s="3"/>
      <c r="H122" s="4"/>
      <c r="I122" s="5"/>
      <c r="J122" s="5"/>
    </row>
    <row r="123" spans="3:10" ht="15.75" customHeight="1">
      <c r="C123" s="1"/>
      <c r="E123" s="2"/>
      <c r="F123" s="3"/>
      <c r="G123" s="3"/>
      <c r="H123" s="4"/>
      <c r="I123" s="5"/>
      <c r="J123" s="5"/>
    </row>
    <row r="124" spans="3:10" ht="15.75" customHeight="1">
      <c r="C124" s="1"/>
      <c r="E124" s="2"/>
      <c r="F124" s="3"/>
      <c r="G124" s="3"/>
      <c r="H124" s="4"/>
      <c r="I124" s="5"/>
      <c r="J124" s="5"/>
    </row>
    <row r="125" spans="3:10" ht="15.75" customHeight="1">
      <c r="C125" s="1"/>
      <c r="E125" s="2"/>
      <c r="F125" s="3"/>
      <c r="G125" s="3"/>
      <c r="H125" s="4"/>
      <c r="I125" s="5"/>
      <c r="J125" s="5"/>
    </row>
    <row r="126" spans="3:10" ht="15.75" customHeight="1">
      <c r="C126" s="1"/>
      <c r="E126" s="2"/>
      <c r="F126" s="3"/>
      <c r="G126" s="3"/>
      <c r="H126" s="4"/>
      <c r="I126" s="5"/>
      <c r="J126" s="5"/>
    </row>
    <row r="127" spans="3:10" ht="15.75" customHeight="1">
      <c r="C127" s="1"/>
      <c r="E127" s="2"/>
      <c r="F127" s="3"/>
      <c r="G127" s="3"/>
      <c r="H127" s="4"/>
      <c r="I127" s="5"/>
      <c r="J127" s="5"/>
    </row>
    <row r="128" spans="3:10" ht="15.75" customHeight="1">
      <c r="C128" s="1"/>
      <c r="E128" s="2"/>
      <c r="F128" s="3"/>
      <c r="G128" s="3"/>
      <c r="H128" s="4"/>
      <c r="I128" s="5"/>
      <c r="J128" s="5"/>
    </row>
    <row r="129" spans="3:10" ht="15.75" customHeight="1">
      <c r="C129" s="1"/>
      <c r="E129" s="2"/>
      <c r="F129" s="3"/>
      <c r="G129" s="3"/>
      <c r="H129" s="4"/>
      <c r="I129" s="5"/>
      <c r="J129" s="5"/>
    </row>
    <row r="130" spans="3:10" ht="15.75" customHeight="1">
      <c r="C130" s="1"/>
      <c r="E130" s="2"/>
      <c r="F130" s="3"/>
      <c r="G130" s="3"/>
      <c r="H130" s="4"/>
      <c r="I130" s="5"/>
      <c r="J130" s="5"/>
    </row>
    <row r="131" spans="3:10" ht="15.75" customHeight="1">
      <c r="C131" s="1"/>
      <c r="E131" s="2"/>
      <c r="F131" s="3"/>
      <c r="G131" s="3"/>
      <c r="H131" s="4"/>
      <c r="I131" s="5"/>
      <c r="J131" s="5"/>
    </row>
    <row r="132" spans="3:10" ht="15.75" customHeight="1">
      <c r="C132" s="1"/>
      <c r="E132" s="2"/>
      <c r="F132" s="3"/>
      <c r="G132" s="3"/>
      <c r="H132" s="4"/>
      <c r="I132" s="5"/>
      <c r="J132" s="5"/>
    </row>
    <row r="133" spans="3:10" ht="15.75" customHeight="1">
      <c r="C133" s="1"/>
      <c r="E133" s="2"/>
      <c r="F133" s="3"/>
      <c r="G133" s="3"/>
      <c r="H133" s="4"/>
      <c r="I133" s="5"/>
      <c r="J133" s="5"/>
    </row>
    <row r="134" spans="3:10" ht="15.75" customHeight="1">
      <c r="C134" s="1"/>
      <c r="E134" s="2"/>
      <c r="F134" s="3"/>
      <c r="G134" s="3"/>
      <c r="H134" s="4"/>
      <c r="I134" s="5"/>
      <c r="J134" s="5"/>
    </row>
    <row r="135" spans="3:10" ht="15.75" customHeight="1">
      <c r="C135" s="1"/>
      <c r="E135" s="2"/>
      <c r="F135" s="3"/>
      <c r="G135" s="3"/>
      <c r="H135" s="4"/>
      <c r="I135" s="5"/>
      <c r="J135" s="5"/>
    </row>
    <row r="136" spans="3:10" ht="15.75" customHeight="1">
      <c r="C136" s="1"/>
      <c r="E136" s="2"/>
      <c r="F136" s="3"/>
      <c r="G136" s="3"/>
      <c r="H136" s="4"/>
      <c r="I136" s="5"/>
      <c r="J136" s="5"/>
    </row>
    <row r="137" spans="3:10" ht="15.75" customHeight="1">
      <c r="C137" s="1"/>
      <c r="E137" s="2"/>
      <c r="F137" s="3"/>
      <c r="G137" s="3"/>
      <c r="H137" s="4"/>
      <c r="I137" s="5"/>
      <c r="J137" s="5"/>
    </row>
    <row r="138" spans="3:10" ht="15.75" customHeight="1">
      <c r="C138" s="1"/>
      <c r="E138" s="2"/>
      <c r="F138" s="3"/>
      <c r="G138" s="3"/>
      <c r="H138" s="4"/>
      <c r="I138" s="5"/>
      <c r="J138" s="5"/>
    </row>
    <row r="139" spans="3:10" ht="15.75" customHeight="1">
      <c r="C139" s="1"/>
      <c r="E139" s="2"/>
      <c r="F139" s="3"/>
      <c r="G139" s="3"/>
      <c r="H139" s="4"/>
      <c r="I139" s="5"/>
      <c r="J139" s="5"/>
    </row>
    <row r="140" spans="3:10" ht="15.75" customHeight="1">
      <c r="C140" s="1"/>
      <c r="E140" s="2"/>
      <c r="F140" s="3"/>
      <c r="G140" s="3"/>
      <c r="H140" s="4"/>
      <c r="I140" s="5"/>
      <c r="J140" s="5"/>
    </row>
    <row r="141" spans="3:10" ht="15.75" customHeight="1">
      <c r="C141" s="1"/>
      <c r="E141" s="2"/>
      <c r="F141" s="3"/>
      <c r="G141" s="3"/>
      <c r="H141" s="4"/>
      <c r="I141" s="5"/>
      <c r="J141" s="5"/>
    </row>
    <row r="142" spans="3:10" ht="15.75" customHeight="1">
      <c r="C142" s="1"/>
      <c r="E142" s="2"/>
      <c r="F142" s="3"/>
      <c r="G142" s="3"/>
      <c r="H142" s="4"/>
      <c r="I142" s="5"/>
      <c r="J142" s="5"/>
    </row>
    <row r="143" spans="3:10" ht="15.75" customHeight="1">
      <c r="C143" s="1"/>
      <c r="E143" s="2"/>
      <c r="F143" s="3"/>
      <c r="G143" s="3"/>
      <c r="H143" s="4"/>
      <c r="I143" s="5"/>
      <c r="J143" s="5"/>
    </row>
    <row r="144" spans="3:10" ht="15.75" customHeight="1">
      <c r="C144" s="1"/>
      <c r="E144" s="2"/>
      <c r="F144" s="3"/>
      <c r="G144" s="3"/>
      <c r="H144" s="4"/>
      <c r="I144" s="5"/>
      <c r="J144" s="5"/>
    </row>
    <row r="145" spans="3:10" ht="15.75" customHeight="1">
      <c r="C145" s="1"/>
      <c r="E145" s="2"/>
      <c r="F145" s="3"/>
      <c r="G145" s="3"/>
      <c r="H145" s="4"/>
      <c r="I145" s="5"/>
      <c r="J145" s="5"/>
    </row>
    <row r="146" spans="3:10" ht="15.75" customHeight="1">
      <c r="C146" s="1"/>
      <c r="E146" s="2"/>
      <c r="F146" s="3"/>
      <c r="G146" s="3"/>
      <c r="H146" s="4"/>
      <c r="I146" s="5"/>
      <c r="J146" s="5"/>
    </row>
    <row r="147" spans="3:10" ht="15.75" customHeight="1">
      <c r="C147" s="1"/>
      <c r="E147" s="2"/>
      <c r="F147" s="3"/>
      <c r="G147" s="3"/>
      <c r="H147" s="4"/>
      <c r="I147" s="5"/>
      <c r="J147" s="5"/>
    </row>
    <row r="148" spans="3:10" ht="15.75" customHeight="1">
      <c r="C148" s="1"/>
      <c r="E148" s="2"/>
      <c r="F148" s="3"/>
      <c r="G148" s="3"/>
      <c r="H148" s="4"/>
      <c r="I148" s="5"/>
      <c r="J148" s="5"/>
    </row>
    <row r="149" spans="3:10" ht="15.75" customHeight="1">
      <c r="C149" s="1"/>
      <c r="E149" s="2"/>
      <c r="F149" s="3"/>
      <c r="G149" s="3"/>
      <c r="H149" s="4"/>
      <c r="I149" s="5"/>
      <c r="J149" s="5"/>
    </row>
    <row r="150" spans="3:10" ht="15.75" customHeight="1">
      <c r="C150" s="1"/>
      <c r="E150" s="2"/>
      <c r="F150" s="3"/>
      <c r="G150" s="3"/>
      <c r="H150" s="4"/>
      <c r="I150" s="5"/>
      <c r="J150" s="5"/>
    </row>
    <row r="151" spans="3:10" ht="15.75" customHeight="1">
      <c r="C151" s="1"/>
      <c r="E151" s="2"/>
      <c r="F151" s="3"/>
      <c r="G151" s="3"/>
      <c r="H151" s="4"/>
      <c r="I151" s="5"/>
      <c r="J151" s="5"/>
    </row>
    <row r="152" spans="3:10" ht="15.75" customHeight="1">
      <c r="C152" s="1"/>
      <c r="E152" s="2"/>
      <c r="F152" s="3"/>
      <c r="G152" s="3"/>
      <c r="H152" s="4"/>
      <c r="I152" s="5"/>
      <c r="J152" s="5"/>
    </row>
    <row r="153" spans="3:10" ht="15.75" customHeight="1">
      <c r="C153" s="1"/>
      <c r="E153" s="2"/>
      <c r="F153" s="3"/>
      <c r="G153" s="3"/>
      <c r="H153" s="4"/>
      <c r="I153" s="5"/>
      <c r="J153" s="5"/>
    </row>
    <row r="154" spans="3:10" ht="15.75" customHeight="1">
      <c r="C154" s="1"/>
      <c r="E154" s="2"/>
      <c r="F154" s="3"/>
      <c r="G154" s="3"/>
      <c r="H154" s="4"/>
      <c r="I154" s="5"/>
      <c r="J154" s="5"/>
    </row>
    <row r="155" spans="3:10" ht="15.75" customHeight="1">
      <c r="C155" s="1"/>
      <c r="E155" s="2"/>
      <c r="F155" s="3"/>
      <c r="G155" s="3"/>
      <c r="H155" s="4"/>
      <c r="I155" s="5"/>
      <c r="J155" s="5"/>
    </row>
    <row r="156" spans="3:10" ht="15.75" customHeight="1">
      <c r="C156" s="1"/>
      <c r="E156" s="2"/>
      <c r="F156" s="3"/>
      <c r="G156" s="3"/>
      <c r="H156" s="4"/>
      <c r="I156" s="5"/>
      <c r="J156" s="5"/>
    </row>
    <row r="157" spans="3:10" ht="15.75" customHeight="1">
      <c r="C157" s="1"/>
      <c r="E157" s="2"/>
      <c r="F157" s="3"/>
      <c r="G157" s="3"/>
      <c r="H157" s="4"/>
      <c r="I157" s="5"/>
      <c r="J157" s="5"/>
    </row>
    <row r="158" spans="3:10" ht="15.75" customHeight="1">
      <c r="C158" s="1"/>
      <c r="E158" s="2"/>
      <c r="F158" s="3"/>
      <c r="G158" s="3"/>
      <c r="H158" s="4"/>
      <c r="I158" s="5"/>
      <c r="J158" s="5"/>
    </row>
    <row r="159" spans="3:10" ht="15.75" customHeight="1">
      <c r="C159" s="1"/>
      <c r="E159" s="2"/>
      <c r="F159" s="3"/>
      <c r="G159" s="3"/>
      <c r="H159" s="4"/>
      <c r="I159" s="5"/>
      <c r="J159" s="5"/>
    </row>
    <row r="160" spans="3:10" ht="15.75" customHeight="1">
      <c r="C160" s="1"/>
      <c r="E160" s="2"/>
      <c r="F160" s="3"/>
      <c r="G160" s="3"/>
      <c r="H160" s="4"/>
      <c r="I160" s="5"/>
      <c r="J160" s="5"/>
    </row>
    <row r="161" spans="3:10" ht="15.75" customHeight="1">
      <c r="C161" s="1"/>
      <c r="E161" s="2"/>
      <c r="F161" s="3"/>
      <c r="G161" s="3"/>
      <c r="H161" s="4"/>
      <c r="I161" s="5"/>
      <c r="J161" s="5"/>
    </row>
    <row r="162" spans="3:10" ht="15.75" customHeight="1">
      <c r="C162" s="1"/>
      <c r="E162" s="2"/>
      <c r="F162" s="3"/>
      <c r="G162" s="3"/>
      <c r="H162" s="4"/>
      <c r="I162" s="5"/>
      <c r="J162" s="5"/>
    </row>
    <row r="163" spans="3:10" ht="15.75" customHeight="1">
      <c r="C163" s="1"/>
      <c r="E163" s="2"/>
      <c r="F163" s="3"/>
      <c r="G163" s="3"/>
      <c r="H163" s="4"/>
      <c r="I163" s="5"/>
      <c r="J163" s="5"/>
    </row>
    <row r="164" spans="3:10" ht="15.75" customHeight="1">
      <c r="C164" s="1"/>
      <c r="E164" s="2"/>
      <c r="F164" s="3"/>
      <c r="G164" s="3"/>
      <c r="H164" s="4"/>
      <c r="I164" s="5"/>
      <c r="J164" s="5"/>
    </row>
    <row r="165" spans="3:10" ht="15.75" customHeight="1">
      <c r="C165" s="1"/>
      <c r="E165" s="2"/>
      <c r="F165" s="3"/>
      <c r="G165" s="3"/>
      <c r="H165" s="4"/>
      <c r="I165" s="5"/>
      <c r="J165" s="5"/>
    </row>
    <row r="166" spans="3:10" ht="15.75" customHeight="1">
      <c r="C166" s="1"/>
      <c r="E166" s="2"/>
      <c r="F166" s="3"/>
      <c r="G166" s="3"/>
      <c r="H166" s="4"/>
      <c r="I166" s="5"/>
      <c r="J166" s="5"/>
    </row>
    <row r="167" spans="3:10" ht="15.75" customHeight="1">
      <c r="C167" s="1"/>
      <c r="E167" s="2"/>
      <c r="F167" s="3"/>
      <c r="G167" s="3"/>
      <c r="H167" s="4"/>
      <c r="I167" s="5"/>
      <c r="J167" s="5"/>
    </row>
    <row r="168" spans="3:10" ht="15.75" customHeight="1">
      <c r="C168" s="1"/>
      <c r="E168" s="2"/>
      <c r="F168" s="3"/>
      <c r="G168" s="3"/>
      <c r="H168" s="4"/>
      <c r="I168" s="5"/>
      <c r="J168" s="5"/>
    </row>
    <row r="169" spans="3:10" ht="15.75" customHeight="1">
      <c r="C169" s="1"/>
      <c r="E169" s="2"/>
      <c r="F169" s="3"/>
      <c r="G169" s="3"/>
      <c r="H169" s="4"/>
      <c r="I169" s="5"/>
      <c r="J169" s="5"/>
    </row>
    <row r="170" spans="3:10" ht="15.75" customHeight="1">
      <c r="C170" s="1"/>
      <c r="E170" s="2"/>
      <c r="F170" s="3"/>
      <c r="G170" s="3"/>
      <c r="H170" s="4"/>
      <c r="I170" s="5"/>
      <c r="J170" s="5"/>
    </row>
    <row r="171" spans="3:10" ht="15.75" customHeight="1">
      <c r="C171" s="1"/>
      <c r="E171" s="2"/>
      <c r="F171" s="3"/>
      <c r="G171" s="3"/>
      <c r="H171" s="4"/>
      <c r="I171" s="5"/>
      <c r="J171" s="5"/>
    </row>
    <row r="172" spans="3:10" ht="15.75" customHeight="1">
      <c r="C172" s="1"/>
      <c r="E172" s="2"/>
      <c r="F172" s="3"/>
      <c r="G172" s="3"/>
      <c r="H172" s="4"/>
      <c r="I172" s="5"/>
      <c r="J172" s="5"/>
    </row>
    <row r="173" spans="3:10" ht="15.75" customHeight="1">
      <c r="C173" s="1"/>
      <c r="E173" s="2"/>
      <c r="F173" s="3"/>
      <c r="G173" s="3"/>
      <c r="H173" s="4"/>
      <c r="I173" s="5"/>
      <c r="J173" s="5"/>
    </row>
    <row r="174" spans="3:10" ht="15.75" customHeight="1">
      <c r="C174" s="1"/>
      <c r="E174" s="2"/>
      <c r="F174" s="3"/>
      <c r="G174" s="3"/>
      <c r="H174" s="4"/>
      <c r="I174" s="5"/>
      <c r="J174" s="5"/>
    </row>
    <row r="175" spans="3:10" ht="15.75" customHeight="1">
      <c r="C175" s="1"/>
      <c r="E175" s="2"/>
      <c r="F175" s="3"/>
      <c r="G175" s="3"/>
      <c r="H175" s="4"/>
      <c r="I175" s="5"/>
      <c r="J175" s="5"/>
    </row>
    <row r="176" spans="3:10" ht="15.75" customHeight="1">
      <c r="C176" s="1"/>
      <c r="E176" s="2"/>
      <c r="F176" s="3"/>
      <c r="G176" s="3"/>
      <c r="H176" s="4"/>
      <c r="I176" s="5"/>
      <c r="J176" s="5"/>
    </row>
    <row r="177" spans="3:10" ht="15.75" customHeight="1">
      <c r="C177" s="1"/>
      <c r="E177" s="2"/>
      <c r="F177" s="3"/>
      <c r="G177" s="3"/>
      <c r="H177" s="4"/>
      <c r="I177" s="5"/>
      <c r="J177" s="5"/>
    </row>
    <row r="178" spans="3:10" ht="15.75" customHeight="1">
      <c r="C178" s="1"/>
      <c r="E178" s="2"/>
      <c r="F178" s="3"/>
      <c r="G178" s="3"/>
      <c r="H178" s="4"/>
      <c r="I178" s="5"/>
      <c r="J178" s="5"/>
    </row>
    <row r="179" spans="3:10" ht="15.75" customHeight="1">
      <c r="C179" s="1"/>
      <c r="E179" s="2"/>
      <c r="F179" s="3"/>
      <c r="G179" s="3"/>
      <c r="H179" s="4"/>
      <c r="I179" s="5"/>
      <c r="J179" s="5"/>
    </row>
    <row r="180" spans="3:10" ht="15.75" customHeight="1">
      <c r="C180" s="1"/>
      <c r="E180" s="2"/>
      <c r="F180" s="3"/>
      <c r="G180" s="3"/>
      <c r="H180" s="4"/>
      <c r="I180" s="5"/>
      <c r="J180" s="5"/>
    </row>
    <row r="181" spans="3:10" ht="15.75" customHeight="1">
      <c r="C181" s="1"/>
      <c r="E181" s="2"/>
      <c r="F181" s="3"/>
      <c r="G181" s="3"/>
      <c r="H181" s="4"/>
      <c r="I181" s="5"/>
      <c r="J181" s="5"/>
    </row>
    <row r="182" spans="3:10" ht="15.75" customHeight="1">
      <c r="C182" s="1"/>
      <c r="E182" s="2"/>
      <c r="F182" s="3"/>
      <c r="G182" s="3"/>
      <c r="H182" s="4"/>
      <c r="I182" s="5"/>
      <c r="J182" s="5"/>
    </row>
    <row r="183" spans="3:10" ht="15.75" customHeight="1">
      <c r="C183" s="1"/>
      <c r="E183" s="2"/>
      <c r="F183" s="3"/>
      <c r="G183" s="3"/>
      <c r="H183" s="4"/>
      <c r="I183" s="5"/>
      <c r="J183" s="5"/>
    </row>
    <row r="184" spans="3:10" ht="15.75" customHeight="1">
      <c r="C184" s="1"/>
      <c r="E184" s="2"/>
      <c r="F184" s="3"/>
      <c r="G184" s="3"/>
      <c r="H184" s="4"/>
      <c r="I184" s="5"/>
      <c r="J184" s="5"/>
    </row>
    <row r="185" spans="3:10" ht="15.75" customHeight="1">
      <c r="C185" s="1"/>
      <c r="E185" s="2"/>
      <c r="F185" s="3"/>
      <c r="G185" s="3"/>
      <c r="H185" s="4"/>
      <c r="I185" s="5"/>
      <c r="J185" s="5"/>
    </row>
    <row r="186" spans="3:10" ht="15.75" customHeight="1">
      <c r="C186" s="1"/>
      <c r="E186" s="2"/>
      <c r="F186" s="3"/>
      <c r="G186" s="3"/>
      <c r="H186" s="4"/>
      <c r="I186" s="5"/>
      <c r="J186" s="5"/>
    </row>
    <row r="187" spans="3:10" ht="15.75" customHeight="1">
      <c r="C187" s="1"/>
      <c r="E187" s="2"/>
      <c r="F187" s="3"/>
      <c r="G187" s="3"/>
      <c r="H187" s="4"/>
      <c r="I187" s="5"/>
      <c r="J187" s="5"/>
    </row>
    <row r="188" spans="3:10" ht="15.75" customHeight="1">
      <c r="C188" s="1"/>
      <c r="E188" s="2"/>
      <c r="F188" s="3"/>
      <c r="G188" s="3"/>
      <c r="H188" s="4"/>
      <c r="I188" s="5"/>
      <c r="J188" s="5"/>
    </row>
    <row r="189" spans="3:10" ht="15.75" customHeight="1">
      <c r="C189" s="1"/>
      <c r="E189" s="2"/>
      <c r="F189" s="3"/>
      <c r="G189" s="3"/>
      <c r="H189" s="4"/>
      <c r="I189" s="5"/>
      <c r="J189" s="5"/>
    </row>
    <row r="190" spans="3:10" ht="15.75" customHeight="1">
      <c r="C190" s="1"/>
      <c r="E190" s="2"/>
      <c r="F190" s="3"/>
      <c r="G190" s="3"/>
      <c r="H190" s="4"/>
      <c r="I190" s="5"/>
      <c r="J190" s="5"/>
    </row>
    <row r="191" spans="3:10" ht="15.75" customHeight="1">
      <c r="C191" s="1"/>
      <c r="E191" s="2"/>
      <c r="F191" s="3"/>
      <c r="G191" s="3"/>
      <c r="H191" s="4"/>
      <c r="I191" s="5"/>
      <c r="J191" s="5"/>
    </row>
    <row r="192" spans="3:10" ht="15.75" customHeight="1">
      <c r="C192" s="1"/>
      <c r="E192" s="2"/>
      <c r="F192" s="3"/>
      <c r="G192" s="3"/>
      <c r="H192" s="4"/>
      <c r="I192" s="5"/>
      <c r="J192" s="5"/>
    </row>
    <row r="193" spans="3:10" ht="15.75" customHeight="1">
      <c r="C193" s="1"/>
      <c r="E193" s="2"/>
      <c r="F193" s="3"/>
      <c r="G193" s="3"/>
      <c r="H193" s="4"/>
      <c r="I193" s="5"/>
      <c r="J193" s="5"/>
    </row>
    <row r="194" spans="3:10" ht="15.75" customHeight="1">
      <c r="C194" s="1"/>
      <c r="E194" s="2"/>
      <c r="F194" s="3"/>
      <c r="G194" s="3"/>
      <c r="H194" s="4"/>
      <c r="I194" s="5"/>
      <c r="J194" s="5"/>
    </row>
    <row r="195" spans="3:10" ht="15.75" customHeight="1">
      <c r="C195" s="1"/>
      <c r="E195" s="2"/>
      <c r="F195" s="3"/>
      <c r="G195" s="3"/>
      <c r="H195" s="4"/>
      <c r="I195" s="5"/>
      <c r="J195" s="5"/>
    </row>
    <row r="196" spans="3:10" ht="15.75" customHeight="1">
      <c r="C196" s="1"/>
      <c r="E196" s="2"/>
      <c r="F196" s="3"/>
      <c r="G196" s="3"/>
      <c r="H196" s="4"/>
      <c r="I196" s="5"/>
      <c r="J196" s="5"/>
    </row>
    <row r="197" spans="3:10" ht="15.75" customHeight="1">
      <c r="C197" s="1"/>
      <c r="E197" s="2"/>
      <c r="F197" s="3"/>
      <c r="G197" s="3"/>
      <c r="H197" s="4"/>
      <c r="I197" s="5"/>
      <c r="J197" s="5"/>
    </row>
    <row r="198" spans="3:10" ht="15.75" customHeight="1">
      <c r="C198" s="1"/>
      <c r="E198" s="2"/>
      <c r="F198" s="3"/>
      <c r="G198" s="3"/>
      <c r="H198" s="4"/>
      <c r="I198" s="5"/>
      <c r="J198" s="5"/>
    </row>
    <row r="199" spans="3:10" ht="15.75" customHeight="1">
      <c r="C199" s="1"/>
      <c r="E199" s="2"/>
      <c r="F199" s="3"/>
      <c r="G199" s="3"/>
      <c r="H199" s="4"/>
      <c r="I199" s="5"/>
      <c r="J199" s="5"/>
    </row>
    <row r="200" spans="3:10" ht="15.75" customHeight="1">
      <c r="C200" s="1"/>
      <c r="E200" s="2"/>
      <c r="F200" s="3"/>
      <c r="G200" s="3"/>
      <c r="H200" s="4"/>
      <c r="I200" s="5"/>
      <c r="J200" s="5"/>
    </row>
    <row r="201" spans="3:10" ht="15.75" customHeight="1">
      <c r="C201" s="1"/>
      <c r="E201" s="2"/>
      <c r="F201" s="3"/>
      <c r="G201" s="3"/>
      <c r="H201" s="4"/>
      <c r="I201" s="5"/>
      <c r="J201" s="5"/>
    </row>
    <row r="202" spans="3:10" ht="15.75" customHeight="1">
      <c r="C202" s="1"/>
      <c r="E202" s="2"/>
      <c r="F202" s="3"/>
      <c r="G202" s="3"/>
      <c r="H202" s="4"/>
      <c r="I202" s="5"/>
      <c r="J202" s="5"/>
    </row>
    <row r="203" spans="3:10" ht="15.75" customHeight="1">
      <c r="C203" s="1"/>
      <c r="E203" s="2"/>
      <c r="F203" s="3"/>
      <c r="G203" s="3"/>
      <c r="H203" s="4"/>
      <c r="I203" s="5"/>
      <c r="J203" s="5"/>
    </row>
    <row r="204" spans="3:10" ht="15.75" customHeight="1">
      <c r="C204" s="1"/>
      <c r="E204" s="2"/>
      <c r="F204" s="3"/>
      <c r="G204" s="3"/>
      <c r="H204" s="4"/>
      <c r="I204" s="5"/>
      <c r="J204" s="5"/>
    </row>
    <row r="205" spans="3:10" ht="15.75" customHeight="1">
      <c r="C205" s="1"/>
      <c r="E205" s="2"/>
      <c r="F205" s="3"/>
      <c r="G205" s="3"/>
      <c r="H205" s="4"/>
      <c r="I205" s="5"/>
      <c r="J205" s="5"/>
    </row>
    <row r="206" spans="3:10" ht="15.75" customHeight="1">
      <c r="C206" s="1"/>
      <c r="E206" s="2"/>
      <c r="F206" s="3"/>
      <c r="G206" s="3"/>
      <c r="H206" s="4"/>
      <c r="I206" s="5"/>
      <c r="J206" s="5"/>
    </row>
    <row r="207" spans="3:10" ht="15.75" customHeight="1">
      <c r="C207" s="1"/>
      <c r="E207" s="2"/>
      <c r="F207" s="3"/>
      <c r="G207" s="3"/>
      <c r="H207" s="4"/>
      <c r="I207" s="5"/>
      <c r="J207" s="5"/>
    </row>
    <row r="208" spans="3:10" ht="15.75" customHeight="1">
      <c r="C208" s="1"/>
      <c r="E208" s="2"/>
      <c r="F208" s="3"/>
      <c r="G208" s="3"/>
      <c r="H208" s="4"/>
      <c r="I208" s="5"/>
      <c r="J208" s="5"/>
    </row>
    <row r="209" spans="3:10" ht="15.75" customHeight="1">
      <c r="C209" s="1"/>
      <c r="E209" s="2"/>
      <c r="F209" s="3"/>
      <c r="G209" s="3"/>
      <c r="H209" s="4"/>
      <c r="I209" s="5"/>
      <c r="J209" s="5"/>
    </row>
    <row r="210" spans="3:10" ht="15.75" customHeight="1">
      <c r="C210" s="1"/>
      <c r="E210" s="2"/>
      <c r="F210" s="3"/>
      <c r="G210" s="3"/>
      <c r="H210" s="4"/>
      <c r="I210" s="5"/>
      <c r="J210" s="5"/>
    </row>
    <row r="211" spans="3:10" ht="15.75" customHeight="1">
      <c r="C211" s="1"/>
      <c r="E211" s="2"/>
      <c r="F211" s="3"/>
      <c r="G211" s="3"/>
      <c r="H211" s="4"/>
      <c r="I211" s="5"/>
      <c r="J211" s="5"/>
    </row>
    <row r="212" spans="3:10" ht="15.75" customHeight="1">
      <c r="C212" s="1"/>
      <c r="E212" s="2"/>
      <c r="F212" s="3"/>
      <c r="G212" s="3"/>
      <c r="H212" s="4"/>
      <c r="I212" s="5"/>
      <c r="J212" s="5"/>
    </row>
    <row r="213" spans="3:10" ht="15.75" customHeight="1">
      <c r="C213" s="1"/>
      <c r="E213" s="2"/>
      <c r="F213" s="3"/>
      <c r="G213" s="3"/>
      <c r="H213" s="4"/>
      <c r="I213" s="5"/>
      <c r="J213" s="5"/>
    </row>
    <row r="214" spans="3:10" ht="15.75" customHeight="1">
      <c r="C214" s="1"/>
      <c r="E214" s="2"/>
      <c r="F214" s="3"/>
      <c r="G214" s="3"/>
      <c r="H214" s="4"/>
      <c r="I214" s="5"/>
      <c r="J214" s="5"/>
    </row>
    <row r="215" spans="3:10" ht="15.75" customHeight="1">
      <c r="C215" s="1"/>
      <c r="E215" s="2"/>
      <c r="F215" s="3"/>
      <c r="G215" s="3"/>
      <c r="H215" s="4"/>
      <c r="I215" s="5"/>
      <c r="J215" s="5"/>
    </row>
    <row r="216" spans="3:10" ht="15.75" customHeight="1">
      <c r="C216" s="1"/>
      <c r="E216" s="2"/>
      <c r="F216" s="3"/>
      <c r="G216" s="3"/>
      <c r="H216" s="4"/>
      <c r="I216" s="5"/>
      <c r="J216" s="5"/>
    </row>
    <row r="217" spans="3:10" ht="15.75" customHeight="1">
      <c r="C217" s="1"/>
      <c r="E217" s="2"/>
      <c r="F217" s="3"/>
      <c r="G217" s="3"/>
      <c r="H217" s="4"/>
      <c r="I217" s="5"/>
      <c r="J217" s="5"/>
    </row>
    <row r="218" spans="3:10" ht="15.75" customHeight="1">
      <c r="C218" s="1"/>
      <c r="E218" s="2"/>
      <c r="F218" s="3"/>
      <c r="G218" s="3"/>
      <c r="H218" s="4"/>
      <c r="I218" s="5"/>
      <c r="J218" s="5"/>
    </row>
    <row r="219" spans="3:10" ht="15.75" customHeight="1">
      <c r="C219" s="1"/>
      <c r="E219" s="2"/>
      <c r="F219" s="3"/>
      <c r="G219" s="3"/>
      <c r="H219" s="4"/>
      <c r="I219" s="5"/>
      <c r="J219" s="5"/>
    </row>
    <row r="220" spans="3:10" ht="15.75" customHeight="1">
      <c r="C220" s="1"/>
      <c r="E220" s="2"/>
      <c r="F220" s="3"/>
      <c r="G220" s="3"/>
      <c r="H220" s="4"/>
      <c r="I220" s="5"/>
      <c r="J220" s="5"/>
    </row>
    <row r="221" spans="3:10" ht="15.75" customHeight="1">
      <c r="C221" s="1"/>
      <c r="E221" s="2"/>
      <c r="F221" s="3"/>
      <c r="G221" s="3"/>
      <c r="H221" s="4"/>
      <c r="I221" s="5"/>
      <c r="J221" s="5"/>
    </row>
    <row r="222" spans="3:10" ht="15.75" customHeight="1">
      <c r="C222" s="1"/>
      <c r="E222" s="2"/>
      <c r="F222" s="3"/>
      <c r="G222" s="3"/>
      <c r="H222" s="4"/>
      <c r="I222" s="5"/>
      <c r="J222" s="5"/>
    </row>
    <row r="223" spans="3:10" ht="15.75" customHeight="1">
      <c r="C223" s="1"/>
      <c r="E223" s="2"/>
      <c r="F223" s="3"/>
      <c r="G223" s="3"/>
      <c r="H223" s="4"/>
      <c r="I223" s="5"/>
      <c r="J223" s="5"/>
    </row>
    <row r="224" spans="3:10" ht="15.75" customHeight="1">
      <c r="C224" s="1"/>
      <c r="E224" s="2"/>
      <c r="F224" s="3"/>
      <c r="G224" s="3"/>
      <c r="H224" s="4"/>
      <c r="I224" s="5"/>
      <c r="J224" s="5"/>
    </row>
    <row r="225" spans="3:10" ht="15.75" customHeight="1">
      <c r="C225" s="1"/>
      <c r="E225" s="2"/>
      <c r="F225" s="3"/>
      <c r="G225" s="3"/>
      <c r="H225" s="4"/>
      <c r="I225" s="5"/>
      <c r="J225" s="5"/>
    </row>
    <row r="226" spans="3:10" ht="15.75" customHeight="1">
      <c r="C226" s="1"/>
      <c r="E226" s="2"/>
      <c r="F226" s="3"/>
      <c r="G226" s="3"/>
      <c r="H226" s="4"/>
      <c r="I226" s="5"/>
      <c r="J226" s="5"/>
    </row>
    <row r="227" spans="3:10" ht="15.75" customHeight="1">
      <c r="C227" s="1"/>
      <c r="E227" s="2"/>
      <c r="F227" s="3"/>
      <c r="G227" s="3"/>
      <c r="H227" s="4"/>
      <c r="I227" s="5"/>
      <c r="J227" s="5"/>
    </row>
    <row r="228" spans="3:10" ht="15.75" customHeight="1">
      <c r="C228" s="1"/>
      <c r="E228" s="2"/>
      <c r="F228" s="3"/>
      <c r="G228" s="3"/>
      <c r="H228" s="4"/>
      <c r="I228" s="5"/>
      <c r="J228" s="5"/>
    </row>
    <row r="229" spans="3:10" ht="15.75" customHeight="1">
      <c r="C229" s="1"/>
      <c r="E229" s="2"/>
      <c r="F229" s="3"/>
      <c r="G229" s="3"/>
      <c r="H229" s="4"/>
      <c r="I229" s="5"/>
      <c r="J229" s="5"/>
    </row>
    <row r="230" spans="3:10" ht="15.75" customHeight="1">
      <c r="C230" s="1"/>
      <c r="E230" s="2"/>
      <c r="F230" s="3"/>
      <c r="G230" s="3"/>
      <c r="H230" s="4"/>
      <c r="I230" s="5"/>
      <c r="J230" s="5"/>
    </row>
    <row r="231" spans="3:10" ht="15.75" customHeight="1">
      <c r="C231" s="1"/>
      <c r="E231" s="2"/>
      <c r="F231" s="3"/>
      <c r="G231" s="3"/>
      <c r="H231" s="4"/>
      <c r="I231" s="5"/>
      <c r="J231" s="5"/>
    </row>
    <row r="232" spans="3:10" ht="15.75" customHeight="1">
      <c r="C232" s="1"/>
      <c r="E232" s="2"/>
      <c r="F232" s="3"/>
      <c r="G232" s="3"/>
      <c r="H232" s="4"/>
      <c r="I232" s="5"/>
      <c r="J232" s="5"/>
    </row>
    <row r="233" spans="3:10" ht="15.75" customHeight="1">
      <c r="C233" s="1"/>
      <c r="E233" s="2"/>
      <c r="F233" s="3"/>
      <c r="G233" s="3"/>
      <c r="H233" s="4"/>
      <c r="I233" s="5"/>
      <c r="J233" s="5"/>
    </row>
    <row r="234" spans="3:10" ht="15.75" customHeight="1">
      <c r="C234" s="1"/>
      <c r="E234" s="2"/>
      <c r="F234" s="3"/>
      <c r="G234" s="3"/>
      <c r="H234" s="4"/>
      <c r="I234" s="5"/>
      <c r="J234" s="5"/>
    </row>
    <row r="235" spans="3:10" ht="15.75" customHeight="1">
      <c r="C235" s="1"/>
      <c r="E235" s="2"/>
      <c r="F235" s="3"/>
      <c r="G235" s="3"/>
      <c r="H235" s="4"/>
      <c r="I235" s="5"/>
      <c r="J235" s="5"/>
    </row>
    <row r="236" spans="3:10" ht="15.75" customHeight="1">
      <c r="C236" s="1"/>
      <c r="E236" s="2"/>
      <c r="F236" s="3"/>
      <c r="G236" s="3"/>
      <c r="H236" s="4"/>
      <c r="I236" s="5"/>
      <c r="J236" s="5"/>
    </row>
    <row r="237" spans="3:10" ht="15.75" customHeight="1">
      <c r="C237" s="1"/>
      <c r="E237" s="2"/>
      <c r="F237" s="3"/>
      <c r="G237" s="3"/>
      <c r="H237" s="4"/>
      <c r="I237" s="5"/>
      <c r="J237" s="5"/>
    </row>
    <row r="238" spans="3:10" ht="15.75" customHeight="1">
      <c r="C238" s="1"/>
      <c r="E238" s="2"/>
      <c r="F238" s="3"/>
      <c r="G238" s="3"/>
      <c r="H238" s="4"/>
      <c r="I238" s="5"/>
      <c r="J238" s="5"/>
    </row>
    <row r="239" spans="3:10" ht="15.75" customHeight="1">
      <c r="C239" s="1"/>
      <c r="E239" s="2"/>
      <c r="F239" s="3"/>
      <c r="G239" s="3"/>
      <c r="H239" s="4"/>
      <c r="I239" s="5"/>
      <c r="J239" s="5"/>
    </row>
    <row r="240" spans="3:10" ht="15.75" customHeight="1">
      <c r="C240" s="1"/>
      <c r="E240" s="2"/>
      <c r="F240" s="3"/>
      <c r="G240" s="3"/>
      <c r="H240" s="4"/>
      <c r="I240" s="5"/>
      <c r="J240" s="5"/>
    </row>
    <row r="241" spans="3:10" ht="15.75" customHeight="1">
      <c r="C241" s="1"/>
      <c r="E241" s="2"/>
      <c r="F241" s="3"/>
      <c r="G241" s="3"/>
      <c r="H241" s="4"/>
      <c r="I241" s="5"/>
      <c r="J241" s="5"/>
    </row>
    <row r="242" spans="3:10" ht="15.75" customHeight="1">
      <c r="C242" s="1"/>
      <c r="E242" s="2"/>
      <c r="F242" s="3"/>
      <c r="G242" s="3"/>
      <c r="H242" s="4"/>
      <c r="I242" s="5"/>
      <c r="J242" s="5"/>
    </row>
    <row r="243" spans="3:10" ht="15.75" customHeight="1">
      <c r="C243" s="1"/>
      <c r="E243" s="2"/>
      <c r="F243" s="3"/>
      <c r="G243" s="3"/>
      <c r="H243" s="4"/>
      <c r="I243" s="5"/>
      <c r="J243" s="5"/>
    </row>
    <row r="244" spans="3:10" ht="15.75" customHeight="1">
      <c r="C244" s="1"/>
      <c r="E244" s="2"/>
      <c r="F244" s="3"/>
      <c r="G244" s="3"/>
      <c r="H244" s="4"/>
      <c r="I244" s="5"/>
      <c r="J244" s="5"/>
    </row>
    <row r="245" spans="3:10" ht="15.75" customHeight="1">
      <c r="C245" s="1"/>
      <c r="E245" s="2"/>
      <c r="F245" s="3"/>
      <c r="G245" s="3"/>
      <c r="H245" s="4"/>
      <c r="I245" s="5"/>
      <c r="J245" s="5"/>
    </row>
    <row r="246" spans="3:10" ht="15.75" customHeight="1">
      <c r="C246" s="1"/>
      <c r="E246" s="2"/>
      <c r="F246" s="3"/>
      <c r="G246" s="3"/>
      <c r="H246" s="4"/>
      <c r="I246" s="5"/>
      <c r="J246" s="5"/>
    </row>
    <row r="247" spans="3:10" ht="15.75" customHeight="1">
      <c r="C247" s="1"/>
      <c r="E247" s="2"/>
      <c r="F247" s="3"/>
      <c r="G247" s="3"/>
      <c r="H247" s="4"/>
      <c r="I247" s="5"/>
      <c r="J247" s="5"/>
    </row>
    <row r="248" spans="3:10" ht="15.75" customHeight="1">
      <c r="C248" s="1"/>
      <c r="E248" s="2"/>
      <c r="F248" s="3"/>
      <c r="G248" s="3"/>
      <c r="H248" s="4"/>
      <c r="I248" s="5"/>
      <c r="J248" s="5"/>
    </row>
    <row r="249" spans="3:10" ht="15.75" customHeight="1">
      <c r="C249" s="1"/>
      <c r="E249" s="2"/>
      <c r="F249" s="3"/>
      <c r="G249" s="3"/>
      <c r="H249" s="4"/>
      <c r="I249" s="5"/>
      <c r="J249" s="5"/>
    </row>
    <row r="250" spans="3:10" ht="15.75" customHeight="1">
      <c r="C250" s="1"/>
      <c r="E250" s="2"/>
      <c r="F250" s="3"/>
      <c r="G250" s="3"/>
      <c r="H250" s="4"/>
      <c r="I250" s="5"/>
      <c r="J250" s="5"/>
    </row>
    <row r="251" spans="3:10" ht="15.75" customHeight="1">
      <c r="C251" s="1"/>
      <c r="E251" s="2"/>
      <c r="F251" s="3"/>
      <c r="G251" s="3"/>
      <c r="H251" s="4"/>
      <c r="I251" s="5"/>
      <c r="J251" s="5"/>
    </row>
    <row r="252" spans="3:10" ht="15.75" customHeight="1">
      <c r="C252" s="1"/>
      <c r="E252" s="2"/>
      <c r="F252" s="3"/>
      <c r="G252" s="3"/>
      <c r="H252" s="4"/>
      <c r="I252" s="5"/>
      <c r="J252" s="5"/>
    </row>
    <row r="253" spans="3:10" ht="15.75" customHeight="1">
      <c r="C253" s="1"/>
      <c r="E253" s="2"/>
      <c r="F253" s="3"/>
      <c r="G253" s="3"/>
      <c r="H253" s="4"/>
      <c r="I253" s="5"/>
      <c r="J253" s="5"/>
    </row>
    <row r="254" spans="3:10" ht="15.75" customHeight="1">
      <c r="C254" s="1"/>
      <c r="E254" s="2"/>
      <c r="F254" s="3"/>
      <c r="G254" s="3"/>
      <c r="H254" s="4"/>
      <c r="I254" s="5"/>
      <c r="J254" s="5"/>
    </row>
    <row r="255" spans="3:10" ht="15.75" customHeight="1">
      <c r="C255" s="1"/>
      <c r="E255" s="2"/>
      <c r="F255" s="3"/>
      <c r="G255" s="3"/>
      <c r="H255" s="4"/>
      <c r="I255" s="5"/>
      <c r="J255" s="5"/>
    </row>
    <row r="256" spans="3:10" ht="15.75" customHeight="1">
      <c r="C256" s="1"/>
      <c r="E256" s="2"/>
      <c r="F256" s="3"/>
      <c r="G256" s="3"/>
      <c r="H256" s="4"/>
      <c r="I256" s="5"/>
      <c r="J256" s="5"/>
    </row>
    <row r="257" spans="3:10" ht="15.75" customHeight="1">
      <c r="C257" s="1"/>
      <c r="E257" s="2"/>
      <c r="F257" s="3"/>
      <c r="G257" s="3"/>
      <c r="H257" s="4"/>
      <c r="I257" s="5"/>
      <c r="J257" s="5"/>
    </row>
    <row r="258" spans="3:10" ht="15.75" customHeight="1">
      <c r="C258" s="1"/>
      <c r="E258" s="2"/>
      <c r="F258" s="3"/>
      <c r="G258" s="3"/>
      <c r="H258" s="4"/>
      <c r="I258" s="5"/>
      <c r="J258" s="5"/>
    </row>
    <row r="259" spans="3:10" ht="15.75" customHeight="1">
      <c r="C259" s="1"/>
      <c r="E259" s="2"/>
      <c r="F259" s="3"/>
      <c r="G259" s="3"/>
      <c r="H259" s="4"/>
      <c r="I259" s="5"/>
      <c r="J259" s="5"/>
    </row>
    <row r="260" spans="3:10" ht="15.75" customHeight="1">
      <c r="C260" s="1"/>
      <c r="E260" s="2"/>
      <c r="F260" s="3"/>
      <c r="G260" s="3"/>
      <c r="H260" s="4"/>
      <c r="I260" s="5"/>
      <c r="J260" s="5"/>
    </row>
    <row r="261" spans="3:10" ht="15.75" customHeight="1">
      <c r="C261" s="1"/>
      <c r="E261" s="2"/>
      <c r="F261" s="3"/>
      <c r="G261" s="3"/>
      <c r="H261" s="4"/>
      <c r="I261" s="5"/>
      <c r="J261" s="5"/>
    </row>
    <row r="262" spans="3:10" ht="15.75" customHeight="1">
      <c r="C262" s="1"/>
      <c r="E262" s="2"/>
      <c r="F262" s="3"/>
      <c r="G262" s="3"/>
      <c r="H262" s="4"/>
      <c r="I262" s="5"/>
      <c r="J262" s="5"/>
    </row>
    <row r="263" spans="3:10" ht="15.75" customHeight="1">
      <c r="C263" s="1"/>
      <c r="E263" s="2"/>
      <c r="F263" s="3"/>
      <c r="G263" s="3"/>
      <c r="H263" s="4"/>
      <c r="I263" s="5"/>
      <c r="J263" s="5"/>
    </row>
    <row r="264" spans="3:10" ht="15.75" customHeight="1">
      <c r="C264" s="1"/>
      <c r="E264" s="2"/>
      <c r="F264" s="3"/>
      <c r="G264" s="3"/>
      <c r="H264" s="4"/>
      <c r="I264" s="5"/>
      <c r="J264" s="5"/>
    </row>
    <row r="265" spans="3:10" ht="15.75" customHeight="1">
      <c r="C265" s="1"/>
      <c r="E265" s="2"/>
      <c r="F265" s="3"/>
      <c r="G265" s="3"/>
      <c r="H265" s="4"/>
      <c r="I265" s="5"/>
      <c r="J265" s="5"/>
    </row>
    <row r="266" spans="3:10" ht="15.75" customHeight="1">
      <c r="C266" s="1"/>
      <c r="E266" s="2"/>
      <c r="F266" s="3"/>
      <c r="G266" s="3"/>
      <c r="H266" s="4"/>
      <c r="I266" s="5"/>
      <c r="J266" s="5"/>
    </row>
    <row r="267" spans="3:10" ht="15.75" customHeight="1">
      <c r="C267" s="1"/>
      <c r="E267" s="2"/>
      <c r="F267" s="3"/>
      <c r="G267" s="3"/>
      <c r="H267" s="4"/>
      <c r="I267" s="5"/>
      <c r="J267" s="5"/>
    </row>
    <row r="268" spans="3:10" ht="15.75" customHeight="1">
      <c r="C268" s="1"/>
      <c r="E268" s="2"/>
      <c r="F268" s="3"/>
      <c r="G268" s="3"/>
      <c r="H268" s="4"/>
      <c r="I268" s="5"/>
      <c r="J268" s="5"/>
    </row>
    <row r="269" spans="3:10" ht="15.75" customHeight="1">
      <c r="C269" s="1"/>
      <c r="E269" s="2"/>
      <c r="F269" s="3"/>
      <c r="G269" s="3"/>
      <c r="H269" s="4"/>
      <c r="I269" s="5"/>
      <c r="J269" s="5"/>
    </row>
    <row r="270" spans="3:10" ht="15.75" customHeight="1">
      <c r="C270" s="1"/>
      <c r="E270" s="2"/>
      <c r="F270" s="3"/>
      <c r="G270" s="3"/>
      <c r="H270" s="4"/>
      <c r="I270" s="5"/>
      <c r="J270" s="5"/>
    </row>
    <row r="271" spans="3:10" ht="15.75" customHeight="1">
      <c r="C271" s="1"/>
      <c r="E271" s="2"/>
      <c r="F271" s="3"/>
      <c r="G271" s="3"/>
      <c r="H271" s="4"/>
      <c r="I271" s="5"/>
      <c r="J271" s="5"/>
    </row>
    <row r="272" spans="3:10" ht="15.75" customHeight="1">
      <c r="C272" s="1"/>
      <c r="E272" s="2"/>
      <c r="F272" s="3"/>
      <c r="G272" s="3"/>
      <c r="H272" s="4"/>
      <c r="I272" s="5"/>
      <c r="J272" s="5"/>
    </row>
    <row r="273" spans="3:10" ht="15.75" customHeight="1">
      <c r="C273" s="1"/>
      <c r="E273" s="2"/>
      <c r="F273" s="3"/>
      <c r="G273" s="3"/>
      <c r="H273" s="4"/>
      <c r="I273" s="5"/>
      <c r="J273" s="5"/>
    </row>
    <row r="274" spans="3:10" ht="15.75" customHeight="1">
      <c r="C274" s="1"/>
      <c r="E274" s="2"/>
      <c r="F274" s="3"/>
      <c r="G274" s="3"/>
      <c r="H274" s="4"/>
      <c r="I274" s="5"/>
      <c r="J274" s="5"/>
    </row>
    <row r="275" spans="3:10" ht="15.75" customHeight="1">
      <c r="C275" s="1"/>
      <c r="E275" s="2"/>
      <c r="F275" s="3"/>
      <c r="G275" s="3"/>
      <c r="H275" s="4"/>
      <c r="I275" s="5"/>
      <c r="J275" s="5"/>
    </row>
    <row r="276" spans="3:10" ht="15.75" customHeight="1">
      <c r="C276" s="1"/>
      <c r="E276" s="2"/>
      <c r="F276" s="3"/>
      <c r="G276" s="3"/>
      <c r="H276" s="4"/>
      <c r="I276" s="5"/>
      <c r="J276" s="5"/>
    </row>
    <row r="277" spans="3:10" ht="15.75" customHeight="1">
      <c r="C277" s="1"/>
      <c r="E277" s="2"/>
      <c r="F277" s="3"/>
      <c r="G277" s="3"/>
      <c r="H277" s="4"/>
      <c r="I277" s="5"/>
      <c r="J277" s="5"/>
    </row>
    <row r="278" spans="3:10" ht="15.75" customHeight="1">
      <c r="C278" s="1"/>
      <c r="E278" s="2"/>
      <c r="F278" s="3"/>
      <c r="G278" s="3"/>
      <c r="H278" s="4"/>
      <c r="I278" s="5"/>
      <c r="J278" s="5"/>
    </row>
    <row r="279" spans="3:10" ht="15.75" customHeight="1">
      <c r="C279" s="1"/>
      <c r="E279" s="2"/>
      <c r="F279" s="3"/>
      <c r="G279" s="3"/>
      <c r="H279" s="4"/>
      <c r="I279" s="5"/>
      <c r="J279" s="5"/>
    </row>
    <row r="280" spans="3:10" ht="15.75" customHeight="1">
      <c r="C280" s="1"/>
      <c r="E280" s="2"/>
      <c r="F280" s="3"/>
      <c r="G280" s="3"/>
      <c r="H280" s="4"/>
      <c r="I280" s="5"/>
      <c r="J280" s="5"/>
    </row>
    <row r="281" spans="3:10" ht="15.75" customHeight="1">
      <c r="C281" s="1"/>
      <c r="E281" s="2"/>
      <c r="F281" s="3"/>
      <c r="G281" s="3"/>
      <c r="H281" s="4"/>
      <c r="I281" s="5"/>
      <c r="J281" s="5"/>
    </row>
    <row r="282" spans="3:10" ht="15.75" customHeight="1">
      <c r="C282" s="1"/>
      <c r="E282" s="2"/>
      <c r="F282" s="3"/>
      <c r="G282" s="3"/>
      <c r="H282" s="4"/>
      <c r="I282" s="5"/>
      <c r="J282" s="5"/>
    </row>
    <row r="283" spans="3:10" ht="15.75" customHeight="1">
      <c r="C283" s="1"/>
      <c r="E283" s="2"/>
      <c r="F283" s="3"/>
      <c r="G283" s="3"/>
      <c r="H283" s="4"/>
      <c r="I283" s="5"/>
      <c r="J283" s="5"/>
    </row>
    <row r="284" spans="3:10" ht="15.75" customHeight="1">
      <c r="C284" s="1"/>
      <c r="E284" s="2"/>
      <c r="F284" s="3"/>
      <c r="G284" s="3"/>
      <c r="H284" s="4"/>
      <c r="I284" s="5"/>
      <c r="J284" s="5"/>
    </row>
    <row r="285" spans="3:10" ht="15.75" customHeight="1">
      <c r="C285" s="1"/>
      <c r="E285" s="2"/>
      <c r="F285" s="3"/>
      <c r="G285" s="3"/>
      <c r="H285" s="4"/>
      <c r="I285" s="5"/>
      <c r="J285" s="5"/>
    </row>
    <row r="286" spans="3:10" ht="15.75" customHeight="1">
      <c r="C286" s="1"/>
      <c r="E286" s="2"/>
      <c r="F286" s="3"/>
      <c r="G286" s="3"/>
      <c r="H286" s="4"/>
      <c r="I286" s="5"/>
      <c r="J286" s="5"/>
    </row>
    <row r="287" spans="3:10" ht="15.75" customHeight="1">
      <c r="C287" s="1"/>
      <c r="E287" s="2"/>
      <c r="F287" s="3"/>
      <c r="G287" s="3"/>
      <c r="H287" s="4"/>
      <c r="I287" s="5"/>
      <c r="J287" s="5"/>
    </row>
    <row r="288" spans="3:10" ht="15.75" customHeight="1">
      <c r="C288" s="1"/>
      <c r="E288" s="2"/>
      <c r="F288" s="3"/>
      <c r="G288" s="3"/>
      <c r="H288" s="4"/>
      <c r="I288" s="5"/>
      <c r="J288" s="5"/>
    </row>
    <row r="289" spans="3:10" ht="15.75" customHeight="1">
      <c r="C289" s="1"/>
      <c r="E289" s="2"/>
      <c r="F289" s="3"/>
      <c r="G289" s="3"/>
      <c r="H289" s="4"/>
      <c r="I289" s="5"/>
      <c r="J289" s="5"/>
    </row>
    <row r="290" spans="3:10" ht="15.75" customHeight="1">
      <c r="C290" s="1"/>
      <c r="E290" s="2"/>
      <c r="F290" s="3"/>
      <c r="G290" s="3"/>
      <c r="H290" s="4"/>
      <c r="I290" s="5"/>
      <c r="J290" s="5"/>
    </row>
    <row r="291" spans="3:10" ht="15.75" customHeight="1">
      <c r="C291" s="1"/>
      <c r="E291" s="2"/>
      <c r="F291" s="3"/>
      <c r="G291" s="3"/>
      <c r="H291" s="4"/>
      <c r="I291" s="5"/>
      <c r="J291" s="5"/>
    </row>
    <row r="292" spans="3:10" ht="15.75" customHeight="1">
      <c r="C292" s="1"/>
      <c r="E292" s="2"/>
      <c r="F292" s="3"/>
      <c r="G292" s="3"/>
      <c r="H292" s="4"/>
      <c r="I292" s="5"/>
      <c r="J292" s="5"/>
    </row>
    <row r="293" spans="3:10" ht="15.75" customHeight="1">
      <c r="C293" s="1"/>
      <c r="E293" s="2"/>
      <c r="F293" s="3"/>
      <c r="G293" s="3"/>
      <c r="H293" s="4"/>
      <c r="I293" s="5"/>
      <c r="J293" s="5"/>
    </row>
    <row r="294" spans="3:10" ht="15.75" customHeight="1">
      <c r="C294" s="1"/>
      <c r="E294" s="2"/>
      <c r="F294" s="3"/>
      <c r="G294" s="3"/>
      <c r="H294" s="4"/>
      <c r="I294" s="5"/>
      <c r="J294" s="5"/>
    </row>
    <row r="295" spans="3:10" ht="15.75" customHeight="1">
      <c r="C295" s="1"/>
      <c r="E295" s="2"/>
      <c r="F295" s="3"/>
      <c r="G295" s="3"/>
      <c r="H295" s="4"/>
      <c r="I295" s="5"/>
      <c r="J295" s="5"/>
    </row>
    <row r="296" spans="3:10" ht="15.75" customHeight="1">
      <c r="C296" s="1"/>
      <c r="E296" s="2"/>
      <c r="F296" s="3"/>
      <c r="G296" s="3"/>
      <c r="H296" s="4"/>
      <c r="I296" s="5"/>
      <c r="J296" s="5"/>
    </row>
    <row r="297" spans="3:10" ht="15.75" customHeight="1">
      <c r="C297" s="1"/>
      <c r="E297" s="2"/>
      <c r="F297" s="3"/>
      <c r="G297" s="3"/>
      <c r="H297" s="4"/>
      <c r="I297" s="5"/>
      <c r="J297" s="5"/>
    </row>
    <row r="298" spans="3:10" ht="15.75" customHeight="1">
      <c r="C298" s="1"/>
      <c r="E298" s="2"/>
      <c r="F298" s="3"/>
      <c r="G298" s="3"/>
      <c r="H298" s="4"/>
      <c r="I298" s="5"/>
      <c r="J298" s="5"/>
    </row>
    <row r="299" spans="3:10" ht="15.75" customHeight="1">
      <c r="C299" s="1"/>
      <c r="E299" s="2"/>
      <c r="F299" s="3"/>
      <c r="G299" s="3"/>
      <c r="H299" s="4"/>
      <c r="I299" s="5"/>
      <c r="J299" s="5"/>
    </row>
    <row r="300" spans="3:10" ht="15.75" customHeight="1">
      <c r="C300" s="1"/>
      <c r="E300" s="2"/>
      <c r="F300" s="3"/>
      <c r="G300" s="3"/>
      <c r="H300" s="4"/>
      <c r="I300" s="5"/>
      <c r="J300" s="5"/>
    </row>
    <row r="301" spans="3:10" ht="15.75" customHeight="1">
      <c r="C301" s="1"/>
      <c r="E301" s="2"/>
      <c r="F301" s="3"/>
      <c r="G301" s="3"/>
      <c r="H301" s="4"/>
      <c r="I301" s="5"/>
      <c r="J301" s="5"/>
    </row>
    <row r="302" spans="3:10" ht="15.75" customHeight="1">
      <c r="C302" s="1"/>
      <c r="E302" s="2"/>
      <c r="F302" s="3"/>
      <c r="G302" s="3"/>
      <c r="H302" s="4"/>
      <c r="I302" s="5"/>
      <c r="J302" s="5"/>
    </row>
    <row r="303" spans="3:10" ht="15.75" customHeight="1">
      <c r="C303" s="1"/>
      <c r="E303" s="2"/>
      <c r="F303" s="3"/>
      <c r="G303" s="3"/>
      <c r="H303" s="4"/>
      <c r="I303" s="5"/>
      <c r="J303" s="5"/>
    </row>
    <row r="304" spans="3:10" ht="15.75" customHeight="1">
      <c r="C304" s="1"/>
      <c r="E304" s="2"/>
      <c r="F304" s="3"/>
      <c r="G304" s="3"/>
      <c r="H304" s="4"/>
      <c r="I304" s="5"/>
      <c r="J304" s="5"/>
    </row>
    <row r="305" spans="3:10" ht="15.75" customHeight="1">
      <c r="C305" s="1"/>
      <c r="E305" s="2"/>
      <c r="F305" s="3"/>
      <c r="G305" s="3"/>
      <c r="H305" s="4"/>
      <c r="I305" s="5"/>
      <c r="J305" s="5"/>
    </row>
    <row r="306" spans="3:10" ht="15.75" customHeight="1">
      <c r="C306" s="1"/>
      <c r="E306" s="2"/>
      <c r="F306" s="3"/>
      <c r="G306" s="3"/>
      <c r="H306" s="4"/>
      <c r="I306" s="5"/>
      <c r="J306" s="5"/>
    </row>
    <row r="307" spans="3:10" ht="15.75" customHeight="1">
      <c r="C307" s="1"/>
      <c r="E307" s="2"/>
      <c r="F307" s="3"/>
      <c r="G307" s="3"/>
      <c r="H307" s="4"/>
      <c r="I307" s="5"/>
      <c r="J307" s="5"/>
    </row>
    <row r="308" spans="3:10" ht="15.75" customHeight="1">
      <c r="C308" s="1"/>
      <c r="E308" s="2"/>
      <c r="F308" s="3"/>
      <c r="G308" s="3"/>
      <c r="H308" s="4"/>
      <c r="I308" s="5"/>
      <c r="J308" s="5"/>
    </row>
    <row r="309" spans="3:10" ht="15.75" customHeight="1">
      <c r="C309" s="1"/>
      <c r="E309" s="2"/>
      <c r="F309" s="3"/>
      <c r="G309" s="3"/>
      <c r="H309" s="4"/>
      <c r="I309" s="5"/>
      <c r="J309" s="5"/>
    </row>
    <row r="310" spans="3:10" ht="15.75" customHeight="1">
      <c r="C310" s="1"/>
      <c r="E310" s="2"/>
      <c r="F310" s="3"/>
      <c r="G310" s="3"/>
      <c r="H310" s="4"/>
      <c r="I310" s="5"/>
      <c r="J310" s="5"/>
    </row>
    <row r="311" spans="3:10" ht="15.75" customHeight="1">
      <c r="C311" s="1"/>
      <c r="E311" s="2"/>
      <c r="F311" s="3"/>
      <c r="G311" s="3"/>
      <c r="H311" s="4"/>
      <c r="I311" s="5"/>
      <c r="J311" s="5"/>
    </row>
    <row r="312" spans="3:10" ht="15.75" customHeight="1">
      <c r="C312" s="1"/>
      <c r="E312" s="2"/>
      <c r="F312" s="3"/>
      <c r="G312" s="3"/>
      <c r="H312" s="4"/>
      <c r="I312" s="5"/>
      <c r="J312" s="5"/>
    </row>
    <row r="313" spans="3:10" ht="15.75" customHeight="1">
      <c r="C313" s="1"/>
      <c r="E313" s="2"/>
      <c r="F313" s="3"/>
      <c r="G313" s="3"/>
      <c r="H313" s="4"/>
      <c r="I313" s="5"/>
      <c r="J313" s="5"/>
    </row>
    <row r="314" spans="3:10" ht="15.75" customHeight="1">
      <c r="C314" s="1"/>
      <c r="E314" s="2"/>
      <c r="F314" s="3"/>
      <c r="G314" s="3"/>
      <c r="H314" s="4"/>
      <c r="I314" s="5"/>
      <c r="J314" s="5"/>
    </row>
    <row r="315" spans="3:10" ht="15.75" customHeight="1">
      <c r="C315" s="1"/>
      <c r="E315" s="2"/>
      <c r="F315" s="3"/>
      <c r="G315" s="3"/>
      <c r="H315" s="4"/>
      <c r="I315" s="5"/>
      <c r="J315" s="5"/>
    </row>
    <row r="316" spans="3:10" ht="15.75" customHeight="1">
      <c r="C316" s="1"/>
      <c r="E316" s="2"/>
      <c r="F316" s="3"/>
      <c r="G316" s="3"/>
      <c r="H316" s="4"/>
      <c r="I316" s="5"/>
      <c r="J316" s="5"/>
    </row>
    <row r="317" spans="3:10" ht="15.75" customHeight="1">
      <c r="C317" s="1"/>
      <c r="E317" s="2"/>
      <c r="F317" s="3"/>
      <c r="G317" s="3"/>
      <c r="H317" s="4"/>
      <c r="I317" s="5"/>
      <c r="J317" s="5"/>
    </row>
    <row r="318" spans="3:10" ht="15.75" customHeight="1">
      <c r="C318" s="1"/>
      <c r="E318" s="2"/>
      <c r="F318" s="3"/>
      <c r="G318" s="3"/>
      <c r="H318" s="4"/>
      <c r="I318" s="5"/>
      <c r="J318" s="5"/>
    </row>
    <row r="319" spans="3:10" ht="15.75" customHeight="1">
      <c r="C319" s="1"/>
      <c r="E319" s="2"/>
      <c r="F319" s="3"/>
      <c r="G319" s="3"/>
      <c r="H319" s="4"/>
      <c r="I319" s="5"/>
      <c r="J319" s="5"/>
    </row>
    <row r="320" spans="3:10" ht="15.75" customHeight="1">
      <c r="C320" s="1"/>
      <c r="E320" s="2"/>
      <c r="F320" s="3"/>
      <c r="G320" s="3"/>
      <c r="H320" s="4"/>
      <c r="I320" s="5"/>
      <c r="J320" s="5"/>
    </row>
    <row r="321" spans="3:10" ht="15.75" customHeight="1">
      <c r="C321" s="1"/>
      <c r="E321" s="2"/>
      <c r="F321" s="3"/>
      <c r="G321" s="3"/>
      <c r="H321" s="4"/>
      <c r="I321" s="5"/>
      <c r="J321" s="5"/>
    </row>
    <row r="322" spans="3:10" ht="15.75" customHeight="1">
      <c r="C322" s="1"/>
      <c r="E322" s="2"/>
      <c r="F322" s="3"/>
      <c r="G322" s="3"/>
      <c r="H322" s="4"/>
      <c r="I322" s="5"/>
      <c r="J322" s="5"/>
    </row>
    <row r="323" spans="3:10" ht="15.75" customHeight="1">
      <c r="C323" s="1"/>
      <c r="E323" s="2"/>
      <c r="F323" s="3"/>
      <c r="G323" s="3"/>
      <c r="H323" s="4"/>
      <c r="I323" s="5"/>
      <c r="J323" s="5"/>
    </row>
    <row r="324" spans="3:10" ht="15.75" customHeight="1">
      <c r="C324" s="1"/>
      <c r="E324" s="2"/>
      <c r="F324" s="3"/>
      <c r="G324" s="3"/>
      <c r="H324" s="4"/>
      <c r="I324" s="5"/>
      <c r="J324" s="5"/>
    </row>
    <row r="325" spans="3:10" ht="15.75" customHeight="1">
      <c r="C325" s="1"/>
      <c r="E325" s="2"/>
      <c r="F325" s="3"/>
      <c r="G325" s="3"/>
      <c r="H325" s="4"/>
      <c r="I325" s="5"/>
      <c r="J325" s="5"/>
    </row>
    <row r="326" spans="3:10" ht="15.75" customHeight="1">
      <c r="C326" s="1"/>
      <c r="E326" s="2"/>
      <c r="F326" s="3"/>
      <c r="G326" s="3"/>
      <c r="H326" s="4"/>
      <c r="I326" s="5"/>
      <c r="J326" s="5"/>
    </row>
    <row r="327" spans="3:10" ht="15.75" customHeight="1">
      <c r="C327" s="1"/>
      <c r="E327" s="2"/>
      <c r="F327" s="3"/>
      <c r="G327" s="3"/>
      <c r="H327" s="4"/>
      <c r="I327" s="5"/>
      <c r="J327" s="5"/>
    </row>
    <row r="328" spans="3:10" ht="15.75" customHeight="1">
      <c r="C328" s="1"/>
      <c r="E328" s="2"/>
      <c r="F328" s="3"/>
      <c r="G328" s="3"/>
      <c r="H328" s="4"/>
      <c r="I328" s="5"/>
      <c r="J328" s="5"/>
    </row>
    <row r="329" spans="3:10" ht="15.75" customHeight="1">
      <c r="C329" s="1"/>
      <c r="E329" s="2"/>
      <c r="F329" s="3"/>
      <c r="G329" s="3"/>
      <c r="H329" s="4"/>
      <c r="I329" s="5"/>
      <c r="J329" s="5"/>
    </row>
    <row r="330" spans="3:10" ht="15.75" customHeight="1">
      <c r="C330" s="1"/>
      <c r="E330" s="2"/>
      <c r="F330" s="3"/>
      <c r="G330" s="3"/>
      <c r="H330" s="4"/>
      <c r="I330" s="5"/>
      <c r="J330" s="5"/>
    </row>
    <row r="331" spans="3:10" ht="15.75" customHeight="1">
      <c r="C331" s="1"/>
      <c r="E331" s="2"/>
      <c r="F331" s="3"/>
      <c r="G331" s="3"/>
      <c r="H331" s="4"/>
      <c r="I331" s="5"/>
      <c r="J331" s="5"/>
    </row>
    <row r="332" spans="3:10" ht="15.75" customHeight="1">
      <c r="C332" s="1"/>
      <c r="E332" s="2"/>
      <c r="F332" s="3"/>
      <c r="G332" s="3"/>
      <c r="H332" s="4"/>
      <c r="I332" s="5"/>
      <c r="J332" s="5"/>
    </row>
    <row r="333" spans="3:10" ht="15.75" customHeight="1">
      <c r="C333" s="1"/>
      <c r="E333" s="2"/>
      <c r="F333" s="3"/>
      <c r="G333" s="3"/>
      <c r="H333" s="4"/>
      <c r="I333" s="5"/>
      <c r="J333" s="5"/>
    </row>
    <row r="334" spans="3:10" ht="15.75" customHeight="1">
      <c r="C334" s="1"/>
      <c r="E334" s="2"/>
      <c r="F334" s="3"/>
      <c r="G334" s="3"/>
      <c r="H334" s="4"/>
      <c r="I334" s="5"/>
      <c r="J334" s="5"/>
    </row>
    <row r="335" spans="3:10" ht="15.75" customHeight="1">
      <c r="C335" s="1"/>
      <c r="E335" s="2"/>
      <c r="F335" s="3"/>
      <c r="G335" s="3"/>
      <c r="H335" s="4"/>
      <c r="I335" s="5"/>
      <c r="J335" s="5"/>
    </row>
    <row r="336" spans="3:10" ht="15.75" customHeight="1">
      <c r="C336" s="1"/>
      <c r="E336" s="2"/>
      <c r="F336" s="3"/>
      <c r="G336" s="3"/>
      <c r="H336" s="4"/>
      <c r="I336" s="5"/>
      <c r="J336" s="5"/>
    </row>
    <row r="337" spans="3:10" ht="15.75" customHeight="1">
      <c r="C337" s="1"/>
      <c r="E337" s="2"/>
      <c r="F337" s="3"/>
      <c r="G337" s="3"/>
      <c r="H337" s="4"/>
      <c r="I337" s="5"/>
      <c r="J337" s="5"/>
    </row>
    <row r="338" spans="3:10" ht="15.75" customHeight="1">
      <c r="C338" s="1"/>
      <c r="E338" s="2"/>
      <c r="F338" s="3"/>
      <c r="G338" s="3"/>
      <c r="H338" s="4"/>
      <c r="I338" s="5"/>
      <c r="J338" s="5"/>
    </row>
    <row r="339" spans="3:10" ht="15.75" customHeight="1">
      <c r="C339" s="1"/>
      <c r="E339" s="2"/>
      <c r="F339" s="3"/>
      <c r="G339" s="3"/>
      <c r="H339" s="4"/>
      <c r="I339" s="5"/>
      <c r="J339" s="5"/>
    </row>
    <row r="340" spans="3:10" ht="15.75" customHeight="1">
      <c r="C340" s="1"/>
      <c r="E340" s="2"/>
      <c r="F340" s="3"/>
      <c r="G340" s="3"/>
      <c r="H340" s="4"/>
      <c r="I340" s="5"/>
      <c r="J340" s="5"/>
    </row>
    <row r="341" spans="3:10" ht="15.75" customHeight="1">
      <c r="C341" s="1"/>
      <c r="E341" s="2"/>
      <c r="F341" s="3"/>
      <c r="G341" s="3"/>
      <c r="H341" s="4"/>
      <c r="I341" s="5"/>
      <c r="J341" s="5"/>
    </row>
    <row r="342" spans="3:10" ht="15.75" customHeight="1">
      <c r="C342" s="1"/>
      <c r="E342" s="2"/>
      <c r="F342" s="3"/>
      <c r="G342" s="3"/>
      <c r="H342" s="4"/>
      <c r="I342" s="5"/>
      <c r="J342" s="5"/>
    </row>
    <row r="343" spans="3:10" ht="15.75" customHeight="1">
      <c r="C343" s="1"/>
      <c r="E343" s="2"/>
      <c r="F343" s="3"/>
      <c r="G343" s="3"/>
      <c r="H343" s="4"/>
      <c r="I343" s="5"/>
      <c r="J343" s="5"/>
    </row>
    <row r="344" spans="3:10" ht="15.75" customHeight="1">
      <c r="C344" s="1"/>
      <c r="E344" s="2"/>
      <c r="F344" s="3"/>
      <c r="G344" s="3"/>
      <c r="H344" s="4"/>
      <c r="I344" s="5"/>
      <c r="J344" s="5"/>
    </row>
    <row r="345" spans="3:10" ht="15.75" customHeight="1">
      <c r="C345" s="1"/>
      <c r="E345" s="2"/>
      <c r="F345" s="3"/>
      <c r="G345" s="3"/>
      <c r="H345" s="4"/>
      <c r="I345" s="5"/>
      <c r="J345" s="5"/>
    </row>
    <row r="346" spans="3:10" ht="15.75" customHeight="1">
      <c r="C346" s="1"/>
      <c r="E346" s="2"/>
      <c r="F346" s="3"/>
      <c r="G346" s="3"/>
      <c r="H346" s="4"/>
      <c r="I346" s="5"/>
      <c r="J346" s="5"/>
    </row>
    <row r="347" spans="3:10" ht="15.75" customHeight="1">
      <c r="C347" s="1"/>
      <c r="E347" s="2"/>
      <c r="F347" s="3"/>
      <c r="G347" s="3"/>
      <c r="H347" s="4"/>
      <c r="I347" s="5"/>
      <c r="J347" s="5"/>
    </row>
    <row r="348" spans="3:10" ht="15.75" customHeight="1">
      <c r="C348" s="1"/>
      <c r="E348" s="2"/>
      <c r="F348" s="3"/>
      <c r="G348" s="3"/>
      <c r="H348" s="4"/>
      <c r="I348" s="5"/>
      <c r="J348" s="5"/>
    </row>
    <row r="349" spans="3:10" ht="15.75" customHeight="1">
      <c r="C349" s="1"/>
      <c r="E349" s="2"/>
      <c r="F349" s="3"/>
      <c r="G349" s="3"/>
      <c r="H349" s="4"/>
      <c r="I349" s="5"/>
      <c r="J349" s="5"/>
    </row>
    <row r="350" spans="3:10" ht="15.75" customHeight="1">
      <c r="C350" s="1"/>
      <c r="E350" s="2"/>
      <c r="F350" s="3"/>
      <c r="G350" s="3"/>
      <c r="H350" s="4"/>
      <c r="I350" s="5"/>
      <c r="J350" s="5"/>
    </row>
    <row r="351" spans="3:10" ht="15.75" customHeight="1">
      <c r="C351" s="1"/>
      <c r="E351" s="2"/>
      <c r="F351" s="3"/>
      <c r="G351" s="3"/>
      <c r="H351" s="4"/>
      <c r="I351" s="5"/>
      <c r="J351" s="5"/>
    </row>
    <row r="352" spans="3:10" ht="15.75" customHeight="1">
      <c r="C352" s="1"/>
      <c r="E352" s="2"/>
      <c r="F352" s="3"/>
      <c r="G352" s="3"/>
      <c r="H352" s="4"/>
      <c r="I352" s="5"/>
      <c r="J352" s="5"/>
    </row>
    <row r="353" spans="3:10" ht="15.75" customHeight="1">
      <c r="C353" s="1"/>
      <c r="E353" s="2"/>
      <c r="F353" s="3"/>
      <c r="G353" s="3"/>
      <c r="H353" s="4"/>
      <c r="I353" s="5"/>
      <c r="J353" s="5"/>
    </row>
    <row r="354" spans="3:10" ht="15.75" customHeight="1">
      <c r="C354" s="1"/>
      <c r="E354" s="2"/>
      <c r="F354" s="3"/>
      <c r="G354" s="3"/>
      <c r="H354" s="4"/>
      <c r="I354" s="5"/>
      <c r="J354" s="5"/>
    </row>
    <row r="355" spans="3:10" ht="15.75" customHeight="1">
      <c r="C355" s="1"/>
      <c r="E355" s="2"/>
      <c r="F355" s="3"/>
      <c r="G355" s="3"/>
      <c r="H355" s="4"/>
      <c r="I355" s="5"/>
      <c r="J355" s="5"/>
    </row>
    <row r="356" spans="3:10" ht="15.75" customHeight="1">
      <c r="C356" s="1"/>
      <c r="E356" s="2"/>
      <c r="F356" s="3"/>
      <c r="G356" s="3"/>
      <c r="H356" s="4"/>
      <c r="I356" s="5"/>
      <c r="J356" s="5"/>
    </row>
    <row r="357" spans="3:10" ht="15.75" customHeight="1">
      <c r="C357" s="1"/>
      <c r="E357" s="2"/>
      <c r="F357" s="3"/>
      <c r="G357" s="3"/>
      <c r="H357" s="4"/>
      <c r="I357" s="5"/>
      <c r="J357" s="5"/>
    </row>
    <row r="358" spans="3:10" ht="15.75" customHeight="1">
      <c r="C358" s="1"/>
      <c r="E358" s="2"/>
      <c r="F358" s="3"/>
      <c r="G358" s="3"/>
      <c r="H358" s="4"/>
      <c r="I358" s="5"/>
      <c r="J358" s="5"/>
    </row>
    <row r="359" spans="3:10" ht="15.75" customHeight="1">
      <c r="C359" s="1"/>
      <c r="E359" s="2"/>
      <c r="F359" s="3"/>
      <c r="G359" s="3"/>
      <c r="H359" s="4"/>
      <c r="I359" s="5"/>
      <c r="J359" s="5"/>
    </row>
    <row r="360" spans="3:10" ht="15.75" customHeight="1">
      <c r="C360" s="1"/>
      <c r="E360" s="2"/>
      <c r="F360" s="3"/>
      <c r="G360" s="3"/>
      <c r="H360" s="4"/>
      <c r="I360" s="5"/>
      <c r="J360" s="5"/>
    </row>
    <row r="361" spans="3:10" ht="15.75" customHeight="1">
      <c r="C361" s="1"/>
      <c r="E361" s="2"/>
      <c r="F361" s="3"/>
      <c r="G361" s="3"/>
      <c r="H361" s="4"/>
      <c r="I361" s="5"/>
      <c r="J361" s="5"/>
    </row>
    <row r="362" spans="3:10" ht="15.75" customHeight="1">
      <c r="C362" s="1"/>
      <c r="E362" s="2"/>
      <c r="F362" s="3"/>
      <c r="G362" s="3"/>
      <c r="H362" s="4"/>
      <c r="I362" s="5"/>
      <c r="J362" s="5"/>
    </row>
    <row r="363" spans="3:10" ht="15.75" customHeight="1">
      <c r="C363" s="1"/>
      <c r="E363" s="2"/>
      <c r="F363" s="3"/>
      <c r="G363" s="3"/>
      <c r="H363" s="4"/>
      <c r="I363" s="5"/>
      <c r="J363" s="5"/>
    </row>
    <row r="364" spans="3:10" ht="15.75" customHeight="1">
      <c r="C364" s="1"/>
      <c r="E364" s="2"/>
      <c r="F364" s="3"/>
      <c r="G364" s="3"/>
      <c r="H364" s="4"/>
      <c r="I364" s="5"/>
      <c r="J364" s="5"/>
    </row>
    <row r="365" spans="3:10" ht="15.75" customHeight="1">
      <c r="C365" s="1"/>
      <c r="E365" s="2"/>
      <c r="F365" s="3"/>
      <c r="G365" s="3"/>
      <c r="H365" s="4"/>
      <c r="I365" s="5"/>
      <c r="J365" s="5"/>
    </row>
    <row r="366" spans="3:10" ht="15.75" customHeight="1">
      <c r="C366" s="1"/>
      <c r="E366" s="2"/>
      <c r="F366" s="3"/>
      <c r="G366" s="3"/>
      <c r="H366" s="4"/>
      <c r="I366" s="5"/>
      <c r="J366" s="5"/>
    </row>
    <row r="367" spans="3:10" ht="15.75" customHeight="1">
      <c r="C367" s="1"/>
      <c r="E367" s="2"/>
      <c r="F367" s="3"/>
      <c r="G367" s="3"/>
      <c r="H367" s="4"/>
      <c r="I367" s="5"/>
      <c r="J367" s="5"/>
    </row>
    <row r="368" spans="3:10" ht="15.75" customHeight="1">
      <c r="C368" s="1"/>
      <c r="E368" s="2"/>
      <c r="F368" s="3"/>
      <c r="G368" s="3"/>
      <c r="H368" s="4"/>
      <c r="I368" s="5"/>
      <c r="J368" s="5"/>
    </row>
    <row r="369" spans="3:10" ht="15.75" customHeight="1">
      <c r="C369" s="1"/>
      <c r="E369" s="2"/>
      <c r="F369" s="3"/>
      <c r="G369" s="3"/>
      <c r="H369" s="4"/>
      <c r="I369" s="5"/>
      <c r="J369" s="5"/>
    </row>
    <row r="370" spans="3:10" ht="15.75" customHeight="1">
      <c r="C370" s="1"/>
      <c r="E370" s="2"/>
      <c r="F370" s="3"/>
      <c r="G370" s="3"/>
      <c r="H370" s="4"/>
      <c r="I370" s="5"/>
      <c r="J370" s="5"/>
    </row>
    <row r="371" spans="3:10" ht="15.75" customHeight="1">
      <c r="C371" s="1"/>
      <c r="E371" s="2"/>
      <c r="F371" s="3"/>
      <c r="G371" s="3"/>
      <c r="H371" s="4"/>
      <c r="I371" s="5"/>
      <c r="J371" s="5"/>
    </row>
    <row r="372" spans="3:10" ht="15.75" customHeight="1">
      <c r="C372" s="1"/>
      <c r="E372" s="2"/>
      <c r="F372" s="3"/>
      <c r="G372" s="3"/>
      <c r="H372" s="4"/>
      <c r="I372" s="5"/>
      <c r="J372" s="5"/>
    </row>
    <row r="373" spans="3:10" ht="15.75" customHeight="1">
      <c r="C373" s="1"/>
      <c r="E373" s="2"/>
      <c r="F373" s="3"/>
      <c r="G373" s="3"/>
      <c r="H373" s="4"/>
      <c r="I373" s="5"/>
      <c r="J373" s="5"/>
    </row>
    <row r="374" spans="3:10" ht="15.75" customHeight="1">
      <c r="C374" s="1"/>
      <c r="E374" s="2"/>
      <c r="F374" s="3"/>
      <c r="G374" s="3"/>
      <c r="H374" s="4"/>
      <c r="I374" s="5"/>
      <c r="J374" s="5"/>
    </row>
    <row r="375" spans="3:10" ht="15.75" customHeight="1">
      <c r="C375" s="1"/>
      <c r="E375" s="2"/>
      <c r="F375" s="3"/>
      <c r="G375" s="3"/>
      <c r="H375" s="4"/>
      <c r="I375" s="5"/>
      <c r="J375" s="5"/>
    </row>
    <row r="376" spans="3:10" ht="15.75" customHeight="1">
      <c r="C376" s="1"/>
      <c r="E376" s="2"/>
      <c r="F376" s="3"/>
      <c r="G376" s="3"/>
      <c r="H376" s="4"/>
      <c r="I376" s="5"/>
      <c r="J376" s="5"/>
    </row>
    <row r="377" spans="3:10" ht="15.75" customHeight="1">
      <c r="C377" s="1"/>
      <c r="E377" s="2"/>
      <c r="F377" s="3"/>
      <c r="G377" s="3"/>
      <c r="H377" s="4"/>
      <c r="I377" s="5"/>
      <c r="J377" s="5"/>
    </row>
    <row r="378" spans="3:10" ht="15.75" customHeight="1">
      <c r="C378" s="1"/>
      <c r="E378" s="2"/>
      <c r="F378" s="3"/>
      <c r="G378" s="3"/>
      <c r="H378" s="4"/>
      <c r="I378" s="5"/>
      <c r="J378" s="5"/>
    </row>
    <row r="379" spans="3:10" ht="15.75" customHeight="1">
      <c r="C379" s="1"/>
      <c r="E379" s="2"/>
      <c r="F379" s="3"/>
      <c r="G379" s="3"/>
      <c r="H379" s="4"/>
      <c r="I379" s="5"/>
      <c r="J379" s="5"/>
    </row>
    <row r="380" spans="3:10" ht="15.75" customHeight="1">
      <c r="C380" s="1"/>
      <c r="E380" s="2"/>
      <c r="F380" s="3"/>
      <c r="G380" s="3"/>
      <c r="H380" s="4"/>
      <c r="I380" s="5"/>
      <c r="J380" s="5"/>
    </row>
    <row r="381" spans="3:10" ht="15.75" customHeight="1">
      <c r="C381" s="1"/>
      <c r="E381" s="2"/>
      <c r="F381" s="3"/>
      <c r="G381" s="3"/>
      <c r="H381" s="4"/>
      <c r="I381" s="5"/>
      <c r="J381" s="5"/>
    </row>
    <row r="382" spans="3:10" ht="15.75" customHeight="1">
      <c r="C382" s="1"/>
      <c r="E382" s="2"/>
      <c r="F382" s="3"/>
      <c r="G382" s="3"/>
      <c r="H382" s="4"/>
      <c r="I382" s="5"/>
      <c r="J382" s="5"/>
    </row>
    <row r="383" spans="3:10" ht="15.75" customHeight="1">
      <c r="C383" s="1"/>
      <c r="E383" s="2"/>
      <c r="F383" s="3"/>
      <c r="G383" s="3"/>
      <c r="H383" s="4"/>
      <c r="I383" s="5"/>
      <c r="J383" s="5"/>
    </row>
    <row r="384" spans="3:10" ht="15.75" customHeight="1">
      <c r="C384" s="1"/>
      <c r="E384" s="2"/>
      <c r="F384" s="3"/>
      <c r="G384" s="3"/>
      <c r="H384" s="4"/>
      <c r="I384" s="5"/>
      <c r="J384" s="5"/>
    </row>
    <row r="385" spans="3:10" ht="15.75" customHeight="1">
      <c r="C385" s="1"/>
      <c r="E385" s="2"/>
      <c r="F385" s="3"/>
      <c r="G385" s="3"/>
      <c r="H385" s="4"/>
      <c r="I385" s="5"/>
      <c r="J385" s="5"/>
    </row>
    <row r="386" spans="3:10" ht="15.75" customHeight="1">
      <c r="C386" s="1"/>
      <c r="E386" s="2"/>
      <c r="F386" s="3"/>
      <c r="G386" s="3"/>
      <c r="H386" s="4"/>
      <c r="I386" s="5"/>
      <c r="J386" s="5"/>
    </row>
    <row r="387" spans="3:10" ht="15.75" customHeight="1">
      <c r="C387" s="1"/>
      <c r="E387" s="2"/>
      <c r="F387" s="3"/>
      <c r="G387" s="3"/>
      <c r="H387" s="4"/>
      <c r="I387" s="5"/>
      <c r="J387" s="5"/>
    </row>
    <row r="388" spans="3:10" ht="15.75" customHeight="1">
      <c r="C388" s="1"/>
      <c r="E388" s="2"/>
      <c r="F388" s="3"/>
      <c r="G388" s="3"/>
      <c r="H388" s="4"/>
      <c r="I388" s="5"/>
      <c r="J388" s="5"/>
    </row>
    <row r="389" spans="3:10" ht="15.75" customHeight="1">
      <c r="C389" s="1"/>
      <c r="E389" s="2"/>
      <c r="F389" s="3"/>
      <c r="G389" s="3"/>
      <c r="H389" s="4"/>
      <c r="I389" s="5"/>
      <c r="J389" s="5"/>
    </row>
    <row r="390" spans="3:10" ht="15.75" customHeight="1">
      <c r="C390" s="1"/>
      <c r="E390" s="2"/>
      <c r="F390" s="3"/>
      <c r="G390" s="3"/>
      <c r="H390" s="4"/>
      <c r="I390" s="5"/>
      <c r="J390" s="5"/>
    </row>
    <row r="391" spans="3:10" ht="15.75" customHeight="1">
      <c r="C391" s="1"/>
      <c r="E391" s="2"/>
      <c r="F391" s="3"/>
      <c r="G391" s="3"/>
      <c r="H391" s="4"/>
      <c r="I391" s="5"/>
      <c r="J391" s="5"/>
    </row>
    <row r="392" spans="3:10" ht="15.75" customHeight="1">
      <c r="C392" s="1"/>
      <c r="E392" s="2"/>
      <c r="F392" s="3"/>
      <c r="G392" s="3"/>
      <c r="H392" s="4"/>
      <c r="I392" s="5"/>
      <c r="J392" s="5"/>
    </row>
    <row r="393" spans="3:10" ht="15.75" customHeight="1">
      <c r="C393" s="1"/>
      <c r="E393" s="2"/>
      <c r="F393" s="3"/>
      <c r="G393" s="3"/>
      <c r="H393" s="4"/>
      <c r="I393" s="5"/>
      <c r="J393" s="5"/>
    </row>
    <row r="394" spans="3:10" ht="15.75" customHeight="1">
      <c r="C394" s="1"/>
      <c r="E394" s="2"/>
      <c r="F394" s="3"/>
      <c r="G394" s="3"/>
      <c r="H394" s="4"/>
      <c r="I394" s="5"/>
      <c r="J394" s="5"/>
    </row>
    <row r="395" spans="3:10" ht="15.75" customHeight="1">
      <c r="C395" s="1"/>
      <c r="E395" s="2"/>
      <c r="F395" s="3"/>
      <c r="G395" s="3"/>
      <c r="H395" s="4"/>
      <c r="I395" s="5"/>
      <c r="J395" s="5"/>
    </row>
    <row r="396" spans="3:10" ht="15.75" customHeight="1">
      <c r="C396" s="1"/>
      <c r="E396" s="2"/>
      <c r="F396" s="3"/>
      <c r="G396" s="3"/>
      <c r="H396" s="4"/>
      <c r="I396" s="5"/>
      <c r="J396" s="5"/>
    </row>
    <row r="397" spans="3:10" ht="15.75" customHeight="1">
      <c r="C397" s="1"/>
      <c r="E397" s="2"/>
      <c r="F397" s="3"/>
      <c r="G397" s="3"/>
      <c r="H397" s="4"/>
      <c r="I397" s="5"/>
      <c r="J397" s="5"/>
    </row>
    <row r="398" spans="3:10" ht="15.75" customHeight="1">
      <c r="C398" s="1"/>
      <c r="E398" s="2"/>
      <c r="F398" s="3"/>
      <c r="G398" s="3"/>
      <c r="H398" s="4"/>
      <c r="I398" s="5"/>
      <c r="J398" s="5"/>
    </row>
    <row r="399" spans="3:10" ht="15.75" customHeight="1">
      <c r="C399" s="1"/>
      <c r="E399" s="2"/>
      <c r="F399" s="3"/>
      <c r="G399" s="3"/>
      <c r="H399" s="4"/>
      <c r="I399" s="5"/>
      <c r="J399" s="5"/>
    </row>
    <row r="400" spans="3:10" ht="15.75" customHeight="1">
      <c r="C400" s="1"/>
      <c r="E400" s="2"/>
      <c r="F400" s="3"/>
      <c r="G400" s="3"/>
      <c r="H400" s="4"/>
      <c r="I400" s="5"/>
      <c r="J400" s="5"/>
    </row>
    <row r="401" spans="3:10" ht="15.75" customHeight="1">
      <c r="C401" s="1"/>
      <c r="E401" s="2"/>
      <c r="F401" s="3"/>
      <c r="G401" s="3"/>
      <c r="H401" s="4"/>
      <c r="I401" s="5"/>
      <c r="J401" s="5"/>
    </row>
    <row r="402" spans="3:10" ht="15.75" customHeight="1">
      <c r="C402" s="1"/>
      <c r="E402" s="2"/>
      <c r="F402" s="3"/>
      <c r="G402" s="3"/>
      <c r="H402" s="4"/>
      <c r="I402" s="5"/>
      <c r="J402" s="5"/>
    </row>
    <row r="403" spans="3:10" ht="15.75" customHeight="1">
      <c r="C403" s="1"/>
      <c r="E403" s="2"/>
      <c r="F403" s="3"/>
      <c r="G403" s="3"/>
      <c r="H403" s="4"/>
      <c r="I403" s="5"/>
      <c r="J403" s="5"/>
    </row>
    <row r="404" spans="3:10" ht="15.75" customHeight="1">
      <c r="C404" s="1"/>
      <c r="E404" s="2"/>
      <c r="F404" s="3"/>
      <c r="G404" s="3"/>
      <c r="H404" s="4"/>
      <c r="I404" s="5"/>
      <c r="J404" s="5"/>
    </row>
    <row r="405" spans="3:10" ht="15.75" customHeight="1">
      <c r="C405" s="1"/>
      <c r="E405" s="2"/>
      <c r="F405" s="3"/>
      <c r="G405" s="3"/>
      <c r="H405" s="4"/>
      <c r="I405" s="5"/>
      <c r="J405" s="5"/>
    </row>
    <row r="406" spans="3:10" ht="15.75" customHeight="1">
      <c r="C406" s="1"/>
      <c r="E406" s="2"/>
      <c r="F406" s="3"/>
      <c r="G406" s="3"/>
      <c r="H406" s="4"/>
      <c r="I406" s="5"/>
      <c r="J406" s="5"/>
    </row>
    <row r="407" spans="3:10" ht="15.75" customHeight="1">
      <c r="C407" s="1"/>
      <c r="E407" s="2"/>
      <c r="F407" s="3"/>
      <c r="G407" s="3"/>
      <c r="H407" s="4"/>
      <c r="I407" s="5"/>
      <c r="J407" s="5"/>
    </row>
    <row r="408" spans="3:10" ht="15.75" customHeight="1">
      <c r="C408" s="1"/>
      <c r="E408" s="2"/>
      <c r="F408" s="3"/>
      <c r="G408" s="3"/>
      <c r="H408" s="4"/>
      <c r="I408" s="5"/>
      <c r="J408" s="5"/>
    </row>
    <row r="409" spans="3:10" ht="15.75" customHeight="1">
      <c r="C409" s="1"/>
      <c r="E409" s="2"/>
      <c r="F409" s="3"/>
      <c r="G409" s="3"/>
      <c r="H409" s="4"/>
      <c r="I409" s="5"/>
      <c r="J409" s="5"/>
    </row>
    <row r="410" spans="3:10" ht="15.75" customHeight="1">
      <c r="C410" s="1"/>
      <c r="E410" s="2"/>
      <c r="F410" s="3"/>
      <c r="G410" s="3"/>
      <c r="H410" s="4"/>
      <c r="I410" s="5"/>
      <c r="J410" s="5"/>
    </row>
    <row r="411" spans="3:10" ht="15.75" customHeight="1">
      <c r="C411" s="1"/>
      <c r="E411" s="2"/>
      <c r="F411" s="3"/>
      <c r="G411" s="3"/>
      <c r="H411" s="4"/>
      <c r="I411" s="5"/>
      <c r="J411" s="5"/>
    </row>
    <row r="412" spans="3:10" ht="15.75" customHeight="1">
      <c r="C412" s="1"/>
      <c r="E412" s="2"/>
      <c r="F412" s="3"/>
      <c r="G412" s="3"/>
      <c r="H412" s="4"/>
      <c r="I412" s="5"/>
      <c r="J412" s="5"/>
    </row>
    <row r="413" spans="3:10" ht="15.75" customHeight="1">
      <c r="C413" s="1"/>
      <c r="E413" s="2"/>
      <c r="F413" s="3"/>
      <c r="G413" s="3"/>
      <c r="H413" s="4"/>
      <c r="I413" s="5"/>
      <c r="J413" s="5"/>
    </row>
    <row r="414" spans="3:10" ht="15.75" customHeight="1">
      <c r="C414" s="1"/>
      <c r="E414" s="2"/>
      <c r="F414" s="3"/>
      <c r="G414" s="3"/>
      <c r="H414" s="4"/>
      <c r="I414" s="5"/>
      <c r="J414" s="5"/>
    </row>
    <row r="415" spans="3:10" ht="15.75" customHeight="1">
      <c r="C415" s="1"/>
      <c r="E415" s="2"/>
      <c r="F415" s="3"/>
      <c r="G415" s="3"/>
      <c r="H415" s="4"/>
      <c r="I415" s="5"/>
      <c r="J415" s="5"/>
    </row>
    <row r="416" spans="3:10" ht="15.75" customHeight="1">
      <c r="C416" s="1"/>
      <c r="E416" s="2"/>
      <c r="F416" s="3"/>
      <c r="G416" s="3"/>
      <c r="H416" s="4"/>
      <c r="I416" s="5"/>
      <c r="J416" s="5"/>
    </row>
    <row r="417" spans="3:10" ht="15.75" customHeight="1">
      <c r="C417" s="1"/>
      <c r="E417" s="2"/>
      <c r="F417" s="3"/>
      <c r="G417" s="3"/>
      <c r="H417" s="4"/>
      <c r="I417" s="5"/>
      <c r="J417" s="5"/>
    </row>
    <row r="418" spans="3:10" ht="15.75" customHeight="1">
      <c r="C418" s="1"/>
      <c r="E418" s="2"/>
      <c r="F418" s="3"/>
      <c r="G418" s="3"/>
      <c r="H418" s="4"/>
      <c r="I418" s="5"/>
      <c r="J418" s="5"/>
    </row>
    <row r="419" spans="3:10" ht="15.75" customHeight="1">
      <c r="C419" s="1"/>
      <c r="E419" s="2"/>
      <c r="F419" s="3"/>
      <c r="G419" s="3"/>
      <c r="H419" s="4"/>
      <c r="I419" s="5"/>
      <c r="J419" s="5"/>
    </row>
    <row r="420" spans="3:10" ht="15.75" customHeight="1">
      <c r="C420" s="1"/>
      <c r="E420" s="2"/>
      <c r="F420" s="3"/>
      <c r="G420" s="3"/>
      <c r="H420" s="4"/>
      <c r="I420" s="5"/>
      <c r="J420" s="5"/>
    </row>
    <row r="421" spans="3:10" ht="15.75" customHeight="1">
      <c r="C421" s="1"/>
      <c r="E421" s="2"/>
      <c r="F421" s="3"/>
      <c r="G421" s="3"/>
      <c r="H421" s="4"/>
      <c r="I421" s="5"/>
      <c r="J421" s="5"/>
    </row>
    <row r="422" spans="3:10" ht="15.75" customHeight="1">
      <c r="C422" s="1"/>
      <c r="E422" s="2"/>
      <c r="F422" s="3"/>
      <c r="G422" s="3"/>
      <c r="H422" s="4"/>
      <c r="I422" s="5"/>
      <c r="J422" s="5"/>
    </row>
    <row r="423" spans="3:10" ht="15.75" customHeight="1">
      <c r="C423" s="1"/>
      <c r="E423" s="2"/>
      <c r="F423" s="3"/>
      <c r="G423" s="3"/>
      <c r="H423" s="4"/>
      <c r="I423" s="5"/>
      <c r="J423" s="5"/>
    </row>
    <row r="424" spans="3:10" ht="15.75" customHeight="1">
      <c r="C424" s="1"/>
      <c r="E424" s="2"/>
      <c r="F424" s="3"/>
      <c r="G424" s="3"/>
      <c r="H424" s="4"/>
      <c r="I424" s="5"/>
      <c r="J424" s="5"/>
    </row>
    <row r="425" spans="3:10" ht="15.75" customHeight="1">
      <c r="C425" s="1"/>
      <c r="E425" s="2"/>
      <c r="F425" s="3"/>
      <c r="G425" s="3"/>
      <c r="H425" s="4"/>
      <c r="I425" s="5"/>
      <c r="J425" s="5"/>
    </row>
    <row r="426" spans="3:10" ht="15.75" customHeight="1">
      <c r="C426" s="1"/>
      <c r="E426" s="2"/>
      <c r="F426" s="3"/>
      <c r="G426" s="3"/>
      <c r="H426" s="4"/>
      <c r="I426" s="5"/>
      <c r="J426" s="5"/>
    </row>
    <row r="427" spans="3:10" ht="15.75" customHeight="1">
      <c r="C427" s="1"/>
      <c r="E427" s="2"/>
      <c r="F427" s="3"/>
      <c r="G427" s="3"/>
      <c r="H427" s="4"/>
      <c r="I427" s="5"/>
      <c r="J427" s="5"/>
    </row>
    <row r="428" spans="3:10" ht="15.75" customHeight="1">
      <c r="C428" s="1"/>
      <c r="E428" s="2"/>
      <c r="F428" s="3"/>
      <c r="G428" s="3"/>
      <c r="H428" s="4"/>
      <c r="I428" s="5"/>
      <c r="J428" s="5"/>
    </row>
    <row r="429" spans="3:10" ht="15.75" customHeight="1">
      <c r="C429" s="1"/>
      <c r="E429" s="2"/>
      <c r="F429" s="3"/>
      <c r="G429" s="3"/>
      <c r="H429" s="4"/>
      <c r="I429" s="5"/>
      <c r="J429" s="5"/>
    </row>
    <row r="430" spans="3:10" ht="15.75" customHeight="1">
      <c r="C430" s="1"/>
      <c r="E430" s="2"/>
      <c r="F430" s="3"/>
      <c r="G430" s="3"/>
      <c r="H430" s="4"/>
      <c r="I430" s="5"/>
      <c r="J430" s="5"/>
    </row>
    <row r="431" spans="3:10" ht="15.75" customHeight="1">
      <c r="C431" s="1"/>
      <c r="E431" s="2"/>
      <c r="F431" s="3"/>
      <c r="G431" s="3"/>
      <c r="H431" s="4"/>
      <c r="I431" s="5"/>
      <c r="J431" s="5"/>
    </row>
    <row r="432" spans="3:10" ht="15.75" customHeight="1">
      <c r="C432" s="1"/>
      <c r="E432" s="2"/>
      <c r="F432" s="3"/>
      <c r="G432" s="3"/>
      <c r="H432" s="4"/>
      <c r="I432" s="5"/>
      <c r="J432" s="5"/>
    </row>
    <row r="433" spans="3:10" ht="15.75" customHeight="1">
      <c r="C433" s="1"/>
      <c r="E433" s="2"/>
      <c r="F433" s="3"/>
      <c r="G433" s="3"/>
      <c r="H433" s="4"/>
      <c r="I433" s="5"/>
      <c r="J433" s="5"/>
    </row>
    <row r="434" spans="3:10" ht="15.75" customHeight="1">
      <c r="C434" s="1"/>
      <c r="E434" s="2"/>
      <c r="F434" s="3"/>
      <c r="G434" s="3"/>
      <c r="H434" s="4"/>
      <c r="I434" s="5"/>
      <c r="J434" s="5"/>
    </row>
    <row r="435" spans="3:10" ht="15.75" customHeight="1">
      <c r="C435" s="1"/>
      <c r="E435" s="2"/>
      <c r="F435" s="3"/>
      <c r="G435" s="3"/>
      <c r="H435" s="4"/>
      <c r="I435" s="5"/>
      <c r="J435" s="5"/>
    </row>
    <row r="436" spans="3:10" ht="15.75" customHeight="1">
      <c r="C436" s="1"/>
      <c r="E436" s="2"/>
      <c r="F436" s="3"/>
      <c r="G436" s="3"/>
      <c r="H436" s="4"/>
      <c r="I436" s="5"/>
      <c r="J436" s="5"/>
    </row>
    <row r="437" spans="3:10" ht="15.75" customHeight="1">
      <c r="C437" s="1"/>
      <c r="E437" s="2"/>
      <c r="F437" s="3"/>
      <c r="G437" s="3"/>
      <c r="H437" s="4"/>
      <c r="I437" s="5"/>
      <c r="J437" s="5"/>
    </row>
    <row r="438" spans="3:10" ht="15.75" customHeight="1">
      <c r="C438" s="1"/>
      <c r="E438" s="2"/>
      <c r="F438" s="3"/>
      <c r="G438" s="3"/>
      <c r="H438" s="4"/>
      <c r="I438" s="5"/>
      <c r="J438" s="5"/>
    </row>
    <row r="439" spans="3:10" ht="15.75" customHeight="1">
      <c r="C439" s="1"/>
      <c r="E439" s="2"/>
      <c r="F439" s="3"/>
      <c r="G439" s="3"/>
      <c r="H439" s="4"/>
      <c r="I439" s="5"/>
      <c r="J439" s="5"/>
    </row>
    <row r="440" spans="3:10" ht="15.75" customHeight="1">
      <c r="C440" s="1"/>
      <c r="E440" s="2"/>
      <c r="F440" s="3"/>
      <c r="G440" s="3"/>
      <c r="H440" s="4"/>
      <c r="I440" s="5"/>
      <c r="J440" s="5"/>
    </row>
    <row r="441" spans="3:10" ht="15.75" customHeight="1">
      <c r="C441" s="1"/>
      <c r="E441" s="2"/>
      <c r="F441" s="3"/>
      <c r="G441" s="3"/>
      <c r="H441" s="4"/>
      <c r="I441" s="5"/>
      <c r="J441" s="5"/>
    </row>
    <row r="442" spans="3:10" ht="15.75" customHeight="1">
      <c r="C442" s="1"/>
      <c r="E442" s="2"/>
      <c r="F442" s="3"/>
      <c r="G442" s="3"/>
      <c r="H442" s="4"/>
      <c r="I442" s="5"/>
      <c r="J442" s="5"/>
    </row>
    <row r="443" spans="3:10" ht="15.75" customHeight="1">
      <c r="C443" s="1"/>
      <c r="E443" s="2"/>
      <c r="F443" s="3"/>
      <c r="G443" s="3"/>
      <c r="H443" s="4"/>
      <c r="I443" s="5"/>
      <c r="J443" s="5"/>
    </row>
    <row r="444" spans="3:10" ht="15.75" customHeight="1">
      <c r="C444" s="1"/>
      <c r="E444" s="2"/>
      <c r="F444" s="3"/>
      <c r="G444" s="3"/>
      <c r="H444" s="4"/>
      <c r="I444" s="5"/>
      <c r="J444" s="5"/>
    </row>
    <row r="445" spans="3:10" ht="15.75" customHeight="1">
      <c r="C445" s="1"/>
      <c r="E445" s="2"/>
      <c r="F445" s="3"/>
      <c r="G445" s="3"/>
      <c r="H445" s="4"/>
      <c r="I445" s="5"/>
      <c r="J445" s="5"/>
    </row>
    <row r="446" spans="3:10" ht="15.75" customHeight="1">
      <c r="C446" s="1"/>
      <c r="E446" s="2"/>
      <c r="F446" s="3"/>
      <c r="G446" s="3"/>
      <c r="H446" s="4"/>
      <c r="I446" s="5"/>
      <c r="J446" s="5"/>
    </row>
    <row r="447" spans="3:10" ht="15.75" customHeight="1">
      <c r="C447" s="1"/>
      <c r="E447" s="2"/>
      <c r="F447" s="3"/>
      <c r="G447" s="3"/>
      <c r="H447" s="4"/>
      <c r="I447" s="5"/>
      <c r="J447" s="5"/>
    </row>
    <row r="448" spans="3:10" ht="15.75" customHeight="1">
      <c r="C448" s="1"/>
      <c r="E448" s="2"/>
      <c r="F448" s="3"/>
      <c r="G448" s="3"/>
      <c r="H448" s="4"/>
      <c r="I448" s="5"/>
      <c r="J448" s="5"/>
    </row>
    <row r="449" spans="3:10" ht="15.75" customHeight="1">
      <c r="C449" s="1"/>
      <c r="E449" s="2"/>
      <c r="F449" s="3"/>
      <c r="G449" s="3"/>
      <c r="H449" s="4"/>
      <c r="I449" s="5"/>
      <c r="J449" s="5"/>
    </row>
    <row r="450" spans="3:10" ht="15.75" customHeight="1">
      <c r="C450" s="1"/>
      <c r="E450" s="2"/>
      <c r="F450" s="3"/>
      <c r="G450" s="3"/>
      <c r="H450" s="4"/>
      <c r="I450" s="5"/>
      <c r="J450" s="5"/>
    </row>
    <row r="451" spans="3:10" ht="15.75" customHeight="1">
      <c r="C451" s="1"/>
      <c r="E451" s="2"/>
      <c r="F451" s="3"/>
      <c r="G451" s="3"/>
      <c r="H451" s="4"/>
      <c r="I451" s="5"/>
      <c r="J451" s="5"/>
    </row>
    <row r="452" spans="3:10" ht="15.75" customHeight="1">
      <c r="C452" s="1"/>
      <c r="E452" s="2"/>
      <c r="F452" s="3"/>
      <c r="G452" s="3"/>
      <c r="H452" s="4"/>
      <c r="I452" s="5"/>
      <c r="J452" s="5"/>
    </row>
    <row r="453" spans="3:10" ht="15.75" customHeight="1">
      <c r="C453" s="1"/>
      <c r="E453" s="2"/>
      <c r="F453" s="3"/>
      <c r="G453" s="3"/>
      <c r="H453" s="4"/>
      <c r="I453" s="5"/>
      <c r="J453" s="5"/>
    </row>
    <row r="454" spans="3:10" ht="15.75" customHeight="1">
      <c r="C454" s="1"/>
      <c r="E454" s="2"/>
      <c r="F454" s="3"/>
      <c r="G454" s="3"/>
      <c r="H454" s="4"/>
      <c r="I454" s="5"/>
      <c r="J454" s="5"/>
    </row>
    <row r="455" spans="3:10" ht="15.75" customHeight="1">
      <c r="C455" s="1"/>
      <c r="E455" s="2"/>
      <c r="F455" s="3"/>
      <c r="G455" s="3"/>
      <c r="H455" s="4"/>
      <c r="I455" s="5"/>
      <c r="J455" s="5"/>
    </row>
    <row r="456" spans="3:10" ht="15.75" customHeight="1">
      <c r="C456" s="1"/>
      <c r="E456" s="2"/>
      <c r="F456" s="3"/>
      <c r="G456" s="3"/>
      <c r="H456" s="4"/>
      <c r="I456" s="5"/>
      <c r="J456" s="5"/>
    </row>
    <row r="457" spans="3:10" ht="15.75" customHeight="1">
      <c r="C457" s="1"/>
      <c r="E457" s="2"/>
      <c r="F457" s="3"/>
      <c r="G457" s="3"/>
      <c r="H457" s="4"/>
      <c r="I457" s="5"/>
      <c r="J457" s="5"/>
    </row>
    <row r="458" spans="3:10" ht="15.75" customHeight="1">
      <c r="C458" s="1"/>
      <c r="E458" s="2"/>
      <c r="F458" s="3"/>
      <c r="G458" s="3"/>
      <c r="H458" s="4"/>
      <c r="I458" s="5"/>
      <c r="J458" s="5"/>
    </row>
    <row r="459" spans="3:10" ht="15.75" customHeight="1">
      <c r="C459" s="1"/>
      <c r="E459" s="2"/>
      <c r="F459" s="3"/>
      <c r="G459" s="3"/>
      <c r="H459" s="4"/>
      <c r="I459" s="5"/>
      <c r="J459" s="5"/>
    </row>
    <row r="460" spans="3:10" ht="15.75" customHeight="1">
      <c r="C460" s="1"/>
      <c r="E460" s="2"/>
      <c r="F460" s="3"/>
      <c r="G460" s="3"/>
      <c r="H460" s="4"/>
      <c r="I460" s="5"/>
      <c r="J460" s="5"/>
    </row>
    <row r="461" spans="3:10" ht="15.75" customHeight="1">
      <c r="C461" s="1"/>
      <c r="E461" s="2"/>
      <c r="F461" s="3"/>
      <c r="G461" s="3"/>
      <c r="H461" s="4"/>
      <c r="I461" s="5"/>
      <c r="J461" s="5"/>
    </row>
    <row r="462" spans="3:10" ht="15.75" customHeight="1">
      <c r="C462" s="1"/>
      <c r="E462" s="2"/>
      <c r="F462" s="3"/>
      <c r="G462" s="3"/>
      <c r="H462" s="4"/>
      <c r="I462" s="5"/>
      <c r="J462" s="5"/>
    </row>
    <row r="463" spans="3:10" ht="15.75" customHeight="1">
      <c r="C463" s="1"/>
      <c r="E463" s="2"/>
      <c r="F463" s="3"/>
      <c r="G463" s="3"/>
      <c r="H463" s="4"/>
      <c r="I463" s="5"/>
      <c r="J463" s="5"/>
    </row>
    <row r="464" spans="3:10" ht="15.75" customHeight="1">
      <c r="C464" s="1"/>
      <c r="E464" s="2"/>
      <c r="F464" s="3"/>
      <c r="G464" s="3"/>
      <c r="H464" s="4"/>
      <c r="I464" s="5"/>
      <c r="J464" s="5"/>
    </row>
    <row r="465" spans="3:10" ht="15.75" customHeight="1">
      <c r="C465" s="1"/>
      <c r="E465" s="2"/>
      <c r="F465" s="3"/>
      <c r="G465" s="3"/>
      <c r="H465" s="4"/>
      <c r="I465" s="5"/>
      <c r="J465" s="5"/>
    </row>
    <row r="466" spans="3:10" ht="15.75" customHeight="1">
      <c r="C466" s="1"/>
      <c r="E466" s="2"/>
      <c r="F466" s="3"/>
      <c r="G466" s="3"/>
      <c r="H466" s="4"/>
      <c r="I466" s="5"/>
      <c r="J466" s="5"/>
    </row>
    <row r="467" spans="3:10" ht="15.75" customHeight="1">
      <c r="C467" s="1"/>
      <c r="E467" s="2"/>
      <c r="F467" s="3"/>
      <c r="G467" s="3"/>
      <c r="H467" s="4"/>
      <c r="I467" s="5"/>
      <c r="J467" s="5"/>
    </row>
    <row r="468" spans="3:10" ht="15.75" customHeight="1">
      <c r="C468" s="1"/>
      <c r="E468" s="2"/>
      <c r="F468" s="3"/>
      <c r="G468" s="3"/>
      <c r="H468" s="4"/>
      <c r="I468" s="5"/>
      <c r="J468" s="5"/>
    </row>
    <row r="469" spans="3:10" ht="15.75" customHeight="1">
      <c r="C469" s="1"/>
      <c r="E469" s="2"/>
      <c r="F469" s="3"/>
      <c r="G469" s="3"/>
      <c r="H469" s="4"/>
      <c r="I469" s="5"/>
      <c r="J469" s="5"/>
    </row>
    <row r="470" spans="3:10" ht="15.75" customHeight="1">
      <c r="C470" s="1"/>
      <c r="E470" s="2"/>
      <c r="F470" s="3"/>
      <c r="G470" s="3"/>
      <c r="H470" s="4"/>
      <c r="I470" s="5"/>
      <c r="J470" s="5"/>
    </row>
    <row r="471" spans="3:10" ht="15.75" customHeight="1">
      <c r="C471" s="1"/>
      <c r="E471" s="2"/>
      <c r="F471" s="3"/>
      <c r="G471" s="3"/>
      <c r="H471" s="4"/>
      <c r="I471" s="5"/>
      <c r="J471" s="5"/>
    </row>
    <row r="472" spans="3:10" ht="15.75" customHeight="1">
      <c r="C472" s="1"/>
      <c r="E472" s="2"/>
      <c r="F472" s="3"/>
      <c r="G472" s="3"/>
      <c r="H472" s="4"/>
      <c r="I472" s="5"/>
      <c r="J472" s="5"/>
    </row>
    <row r="473" spans="3:10" ht="15.75" customHeight="1">
      <c r="C473" s="1"/>
      <c r="E473" s="2"/>
      <c r="F473" s="3"/>
      <c r="G473" s="3"/>
      <c r="H473" s="4"/>
      <c r="I473" s="5"/>
      <c r="J473" s="5"/>
    </row>
    <row r="474" spans="3:10" ht="15.75" customHeight="1">
      <c r="C474" s="1"/>
      <c r="E474" s="2"/>
      <c r="F474" s="3"/>
      <c r="G474" s="3"/>
      <c r="H474" s="4"/>
      <c r="I474" s="5"/>
      <c r="J474" s="5"/>
    </row>
    <row r="475" spans="3:10" ht="15.75" customHeight="1">
      <c r="C475" s="1"/>
      <c r="E475" s="2"/>
      <c r="F475" s="3"/>
      <c r="G475" s="3"/>
      <c r="H475" s="4"/>
      <c r="I475" s="5"/>
      <c r="J475" s="5"/>
    </row>
    <row r="476" spans="3:10" ht="15.75" customHeight="1">
      <c r="C476" s="1"/>
      <c r="E476" s="2"/>
      <c r="F476" s="3"/>
      <c r="G476" s="3"/>
      <c r="H476" s="4"/>
      <c r="I476" s="5"/>
      <c r="J476" s="5"/>
    </row>
    <row r="477" spans="3:10" ht="15.75" customHeight="1">
      <c r="C477" s="1"/>
      <c r="E477" s="2"/>
      <c r="F477" s="3"/>
      <c r="G477" s="3"/>
      <c r="H477" s="4"/>
      <c r="I477" s="5"/>
      <c r="J477" s="5"/>
    </row>
    <row r="478" spans="3:10" ht="15.75" customHeight="1">
      <c r="C478" s="1"/>
      <c r="E478" s="2"/>
      <c r="F478" s="3"/>
      <c r="G478" s="3"/>
      <c r="H478" s="4"/>
      <c r="I478" s="5"/>
      <c r="J478" s="5"/>
    </row>
    <row r="479" spans="3:10" ht="15.75" customHeight="1">
      <c r="C479" s="1"/>
      <c r="E479" s="2"/>
      <c r="F479" s="3"/>
      <c r="G479" s="3"/>
      <c r="H479" s="4"/>
      <c r="I479" s="5"/>
      <c r="J479" s="5"/>
    </row>
    <row r="480" spans="3:10" ht="15.75" customHeight="1">
      <c r="C480" s="1"/>
      <c r="E480" s="2"/>
      <c r="F480" s="3"/>
      <c r="G480" s="3"/>
      <c r="H480" s="4"/>
      <c r="I480" s="5"/>
      <c r="J480" s="5"/>
    </row>
    <row r="481" spans="3:10" ht="15.75" customHeight="1">
      <c r="C481" s="1"/>
      <c r="E481" s="2"/>
      <c r="F481" s="3"/>
      <c r="G481" s="3"/>
      <c r="H481" s="4"/>
      <c r="I481" s="5"/>
      <c r="J481" s="5"/>
    </row>
    <row r="482" spans="3:10" ht="15.75" customHeight="1">
      <c r="C482" s="1"/>
      <c r="E482" s="2"/>
      <c r="F482" s="3"/>
      <c r="G482" s="3"/>
      <c r="H482" s="4"/>
      <c r="I482" s="5"/>
      <c r="J482" s="5"/>
    </row>
    <row r="483" spans="3:10" ht="15.75" customHeight="1">
      <c r="C483" s="1"/>
      <c r="E483" s="2"/>
      <c r="F483" s="3"/>
      <c r="G483" s="3"/>
      <c r="H483" s="4"/>
      <c r="I483" s="5"/>
      <c r="J483" s="5"/>
    </row>
    <row r="484" spans="3:10" ht="15.75" customHeight="1">
      <c r="C484" s="1"/>
      <c r="E484" s="2"/>
      <c r="F484" s="3"/>
      <c r="G484" s="3"/>
      <c r="H484" s="4"/>
      <c r="I484" s="5"/>
      <c r="J484" s="5"/>
    </row>
    <row r="485" spans="3:10" ht="15.75" customHeight="1">
      <c r="C485" s="1"/>
      <c r="E485" s="2"/>
      <c r="F485" s="3"/>
      <c r="G485" s="3"/>
      <c r="H485" s="4"/>
      <c r="I485" s="5"/>
      <c r="J485" s="5"/>
    </row>
    <row r="486" spans="3:10" ht="15.75" customHeight="1">
      <c r="C486" s="1"/>
      <c r="E486" s="2"/>
      <c r="F486" s="3"/>
      <c r="G486" s="3"/>
      <c r="H486" s="4"/>
      <c r="I486" s="5"/>
      <c r="J486" s="5"/>
    </row>
    <row r="487" spans="3:10" ht="15.75" customHeight="1">
      <c r="C487" s="1"/>
      <c r="E487" s="2"/>
      <c r="F487" s="3"/>
      <c r="G487" s="3"/>
      <c r="H487" s="4"/>
      <c r="I487" s="5"/>
      <c r="J487" s="5"/>
    </row>
    <row r="488" spans="3:10" ht="15.75" customHeight="1">
      <c r="C488" s="1"/>
      <c r="E488" s="2"/>
      <c r="F488" s="3"/>
      <c r="G488" s="3"/>
      <c r="H488" s="4"/>
      <c r="I488" s="5"/>
      <c r="J488" s="5"/>
    </row>
    <row r="489" spans="3:10" ht="15.75" customHeight="1">
      <c r="C489" s="1"/>
      <c r="E489" s="2"/>
      <c r="F489" s="3"/>
      <c r="G489" s="3"/>
      <c r="H489" s="4"/>
      <c r="I489" s="5"/>
      <c r="J489" s="5"/>
    </row>
    <row r="490" spans="3:10" ht="15.75" customHeight="1">
      <c r="C490" s="1"/>
      <c r="E490" s="2"/>
      <c r="F490" s="3"/>
      <c r="G490" s="3"/>
      <c r="H490" s="4"/>
      <c r="I490" s="5"/>
      <c r="J490" s="5"/>
    </row>
    <row r="491" spans="3:10" ht="15.75" customHeight="1">
      <c r="C491" s="1"/>
      <c r="E491" s="2"/>
      <c r="F491" s="3"/>
      <c r="G491" s="3"/>
      <c r="H491" s="4"/>
      <c r="I491" s="5"/>
      <c r="J491" s="5"/>
    </row>
    <row r="492" spans="3:10" ht="15.75" customHeight="1">
      <c r="C492" s="1"/>
      <c r="E492" s="2"/>
      <c r="F492" s="3"/>
      <c r="G492" s="3"/>
      <c r="H492" s="4"/>
      <c r="I492" s="5"/>
      <c r="J492" s="5"/>
    </row>
    <row r="493" spans="3:10" ht="15.75" customHeight="1">
      <c r="C493" s="1"/>
      <c r="E493" s="2"/>
      <c r="F493" s="3"/>
      <c r="G493" s="3"/>
      <c r="H493" s="4"/>
      <c r="I493" s="5"/>
      <c r="J493" s="5"/>
    </row>
    <row r="494" spans="3:10" ht="15.75" customHeight="1">
      <c r="C494" s="1"/>
      <c r="E494" s="2"/>
      <c r="F494" s="3"/>
      <c r="G494" s="3"/>
      <c r="H494" s="4"/>
      <c r="I494" s="5"/>
      <c r="J494" s="5"/>
    </row>
    <row r="495" spans="3:10" ht="15.75" customHeight="1">
      <c r="C495" s="1"/>
      <c r="E495" s="2"/>
      <c r="F495" s="3"/>
      <c r="G495" s="3"/>
      <c r="H495" s="4"/>
      <c r="I495" s="5"/>
      <c r="J495" s="5"/>
    </row>
    <row r="496" spans="3:10" ht="15.75" customHeight="1">
      <c r="C496" s="1"/>
      <c r="E496" s="2"/>
      <c r="F496" s="3"/>
      <c r="G496" s="3"/>
      <c r="H496" s="4"/>
      <c r="I496" s="5"/>
      <c r="J496" s="5"/>
    </row>
    <row r="497" spans="3:10" ht="15.75" customHeight="1">
      <c r="C497" s="1"/>
      <c r="E497" s="2"/>
      <c r="F497" s="3"/>
      <c r="G497" s="3"/>
      <c r="H497" s="4"/>
      <c r="I497" s="5"/>
      <c r="J497" s="5"/>
    </row>
    <row r="498" spans="3:10" ht="15.75" customHeight="1">
      <c r="C498" s="1"/>
      <c r="E498" s="2"/>
      <c r="F498" s="3"/>
      <c r="G498" s="3"/>
      <c r="H498" s="4"/>
      <c r="I498" s="5"/>
      <c r="J498" s="5"/>
    </row>
    <row r="499" spans="3:10" ht="15.75" customHeight="1">
      <c r="C499" s="1"/>
      <c r="E499" s="2"/>
      <c r="F499" s="3"/>
      <c r="G499" s="3"/>
      <c r="H499" s="4"/>
      <c r="I499" s="5"/>
      <c r="J499" s="5"/>
    </row>
    <row r="500" spans="3:10" ht="15.75" customHeight="1">
      <c r="C500" s="1"/>
      <c r="E500" s="2"/>
      <c r="F500" s="3"/>
      <c r="G500" s="3"/>
      <c r="H500" s="4"/>
      <c r="I500" s="5"/>
      <c r="J500" s="5"/>
    </row>
    <row r="501" spans="3:10" ht="15.75" customHeight="1">
      <c r="C501" s="1"/>
      <c r="E501" s="2"/>
      <c r="F501" s="3"/>
      <c r="G501" s="3"/>
      <c r="H501" s="4"/>
      <c r="I501" s="5"/>
      <c r="J501" s="5"/>
    </row>
    <row r="502" spans="3:10" ht="15.75" customHeight="1">
      <c r="C502" s="1"/>
      <c r="E502" s="2"/>
      <c r="F502" s="3"/>
      <c r="G502" s="3"/>
      <c r="H502" s="4"/>
      <c r="I502" s="5"/>
      <c r="J502" s="5"/>
    </row>
    <row r="503" spans="3:10" ht="15.75" customHeight="1">
      <c r="C503" s="1"/>
      <c r="E503" s="2"/>
      <c r="F503" s="3"/>
      <c r="G503" s="3"/>
      <c r="H503" s="4"/>
      <c r="I503" s="5"/>
      <c r="J503" s="5"/>
    </row>
    <row r="504" spans="3:10" ht="15.75" customHeight="1">
      <c r="C504" s="1"/>
      <c r="E504" s="2"/>
      <c r="F504" s="3"/>
      <c r="G504" s="3"/>
      <c r="H504" s="4"/>
      <c r="I504" s="5"/>
      <c r="J504" s="5"/>
    </row>
    <row r="505" spans="3:10" ht="15.75" customHeight="1">
      <c r="C505" s="1"/>
      <c r="E505" s="2"/>
      <c r="F505" s="3"/>
      <c r="G505" s="3"/>
      <c r="H505" s="4"/>
      <c r="I505" s="5"/>
      <c r="J505" s="5"/>
    </row>
    <row r="506" spans="3:10" ht="15.75" customHeight="1">
      <c r="C506" s="1"/>
      <c r="E506" s="2"/>
      <c r="F506" s="3"/>
      <c r="G506" s="3"/>
      <c r="H506" s="4"/>
      <c r="I506" s="5"/>
      <c r="J506" s="5"/>
    </row>
    <row r="507" spans="3:10" ht="15.75" customHeight="1">
      <c r="C507" s="1"/>
      <c r="E507" s="2"/>
      <c r="F507" s="3"/>
      <c r="G507" s="3"/>
      <c r="H507" s="4"/>
      <c r="I507" s="5"/>
      <c r="J507" s="5"/>
    </row>
    <row r="508" spans="3:10" ht="15.75" customHeight="1">
      <c r="C508" s="1"/>
      <c r="E508" s="2"/>
      <c r="F508" s="3"/>
      <c r="G508" s="3"/>
      <c r="H508" s="4"/>
      <c r="I508" s="5"/>
      <c r="J508" s="5"/>
    </row>
    <row r="509" spans="3:10" ht="15.75" customHeight="1">
      <c r="C509" s="1"/>
      <c r="E509" s="2"/>
      <c r="F509" s="3"/>
      <c r="G509" s="3"/>
      <c r="H509" s="4"/>
      <c r="I509" s="5"/>
      <c r="J509" s="5"/>
    </row>
    <row r="510" spans="3:10" ht="15.75" customHeight="1">
      <c r="C510" s="1"/>
      <c r="E510" s="2"/>
      <c r="F510" s="3"/>
      <c r="G510" s="3"/>
      <c r="H510" s="4"/>
      <c r="I510" s="5"/>
      <c r="J510" s="5"/>
    </row>
    <row r="511" spans="3:10" ht="15.75" customHeight="1">
      <c r="C511" s="1"/>
      <c r="E511" s="2"/>
      <c r="F511" s="3"/>
      <c r="G511" s="3"/>
      <c r="H511" s="4"/>
      <c r="I511" s="5"/>
      <c r="J511" s="5"/>
    </row>
    <row r="512" spans="3:10" ht="15.75" customHeight="1">
      <c r="C512" s="1"/>
      <c r="E512" s="2"/>
      <c r="F512" s="3"/>
      <c r="G512" s="3"/>
      <c r="H512" s="4"/>
      <c r="I512" s="5"/>
      <c r="J512" s="5"/>
    </row>
    <row r="513" spans="3:10" ht="15.75" customHeight="1">
      <c r="C513" s="1"/>
      <c r="E513" s="2"/>
      <c r="F513" s="3"/>
      <c r="G513" s="3"/>
      <c r="H513" s="4"/>
      <c r="I513" s="5"/>
      <c r="J513" s="5"/>
    </row>
    <row r="514" spans="3:10" ht="15.75" customHeight="1">
      <c r="C514" s="1"/>
      <c r="E514" s="2"/>
      <c r="F514" s="3"/>
      <c r="G514" s="3"/>
      <c r="H514" s="4"/>
      <c r="I514" s="5"/>
      <c r="J514" s="5"/>
    </row>
    <row r="515" spans="3:10" ht="15.75" customHeight="1">
      <c r="C515" s="1"/>
      <c r="E515" s="2"/>
      <c r="F515" s="3"/>
      <c r="G515" s="3"/>
      <c r="H515" s="4"/>
      <c r="I515" s="5"/>
      <c r="J515" s="5"/>
    </row>
    <row r="516" spans="3:10" ht="15.75" customHeight="1">
      <c r="C516" s="1"/>
      <c r="E516" s="2"/>
      <c r="F516" s="3"/>
      <c r="G516" s="3"/>
      <c r="H516" s="4"/>
      <c r="I516" s="5"/>
      <c r="J516" s="5"/>
    </row>
    <row r="517" spans="3:10" ht="15.75" customHeight="1">
      <c r="C517" s="1"/>
      <c r="E517" s="2"/>
      <c r="F517" s="3"/>
      <c r="G517" s="3"/>
      <c r="H517" s="4"/>
      <c r="I517" s="5"/>
      <c r="J517" s="5"/>
    </row>
    <row r="518" spans="3:10" ht="15.75" customHeight="1">
      <c r="C518" s="1"/>
      <c r="E518" s="2"/>
      <c r="F518" s="3"/>
      <c r="G518" s="3"/>
      <c r="H518" s="4"/>
      <c r="I518" s="5"/>
      <c r="J518" s="5"/>
    </row>
    <row r="519" spans="3:10" ht="15.75" customHeight="1">
      <c r="C519" s="1"/>
      <c r="E519" s="2"/>
      <c r="F519" s="3"/>
      <c r="G519" s="3"/>
      <c r="H519" s="4"/>
      <c r="I519" s="5"/>
      <c r="J519" s="5"/>
    </row>
    <row r="520" spans="3:10" ht="15.75" customHeight="1">
      <c r="C520" s="1"/>
      <c r="E520" s="2"/>
      <c r="F520" s="3"/>
      <c r="G520" s="3"/>
      <c r="H520" s="4"/>
      <c r="I520" s="5"/>
      <c r="J520" s="5"/>
    </row>
    <row r="521" spans="3:10" ht="15.75" customHeight="1">
      <c r="C521" s="1"/>
      <c r="E521" s="2"/>
      <c r="F521" s="3"/>
      <c r="G521" s="3"/>
      <c r="H521" s="4"/>
      <c r="I521" s="5"/>
      <c r="J521" s="5"/>
    </row>
    <row r="522" spans="3:10" ht="15.75" customHeight="1">
      <c r="C522" s="1"/>
      <c r="E522" s="2"/>
      <c r="F522" s="3"/>
      <c r="G522" s="3"/>
      <c r="H522" s="4"/>
      <c r="I522" s="5"/>
      <c r="J522" s="5"/>
    </row>
    <row r="523" spans="3:10" ht="15.75" customHeight="1">
      <c r="C523" s="1"/>
      <c r="E523" s="2"/>
      <c r="F523" s="3"/>
      <c r="G523" s="3"/>
      <c r="H523" s="4"/>
      <c r="I523" s="5"/>
      <c r="J523" s="5"/>
    </row>
    <row r="524" spans="3:10" ht="15.75" customHeight="1">
      <c r="C524" s="1"/>
      <c r="E524" s="2"/>
      <c r="F524" s="3"/>
      <c r="G524" s="3"/>
      <c r="H524" s="4"/>
      <c r="I524" s="5"/>
      <c r="J524" s="5"/>
    </row>
    <row r="525" spans="3:10" ht="15.75" customHeight="1">
      <c r="C525" s="1"/>
      <c r="E525" s="2"/>
      <c r="F525" s="3"/>
      <c r="G525" s="3"/>
      <c r="H525" s="4"/>
      <c r="I525" s="5"/>
      <c r="J525" s="5"/>
    </row>
    <row r="526" spans="3:10" ht="15.75" customHeight="1">
      <c r="C526" s="1"/>
      <c r="E526" s="2"/>
      <c r="F526" s="3"/>
      <c r="G526" s="3"/>
      <c r="H526" s="4"/>
      <c r="I526" s="5"/>
      <c r="J526" s="5"/>
    </row>
    <row r="527" spans="3:10" ht="15.75" customHeight="1">
      <c r="C527" s="1"/>
      <c r="E527" s="2"/>
      <c r="F527" s="3"/>
      <c r="G527" s="3"/>
      <c r="H527" s="4"/>
      <c r="I527" s="5"/>
      <c r="J527" s="5"/>
    </row>
    <row r="528" spans="3:10" ht="15.75" customHeight="1">
      <c r="C528" s="1"/>
      <c r="E528" s="2"/>
      <c r="F528" s="3"/>
      <c r="G528" s="3"/>
      <c r="H528" s="4"/>
      <c r="I528" s="5"/>
      <c r="J528" s="5"/>
    </row>
    <row r="529" spans="3:10" ht="15.75" customHeight="1">
      <c r="C529" s="1"/>
      <c r="E529" s="2"/>
      <c r="F529" s="3"/>
      <c r="G529" s="3"/>
      <c r="H529" s="4"/>
      <c r="I529" s="5"/>
      <c r="J529" s="5"/>
    </row>
    <row r="530" spans="3:10" ht="15.75" customHeight="1">
      <c r="C530" s="1"/>
      <c r="E530" s="2"/>
      <c r="F530" s="3"/>
      <c r="G530" s="3"/>
      <c r="H530" s="4"/>
      <c r="I530" s="5"/>
      <c r="J530" s="5"/>
    </row>
    <row r="531" spans="3:10" ht="15.75" customHeight="1">
      <c r="C531" s="1"/>
      <c r="E531" s="2"/>
      <c r="F531" s="3"/>
      <c r="G531" s="3"/>
      <c r="H531" s="4"/>
      <c r="I531" s="5"/>
      <c r="J531" s="5"/>
    </row>
    <row r="532" spans="3:10" ht="15.75" customHeight="1">
      <c r="C532" s="1"/>
      <c r="E532" s="2"/>
      <c r="F532" s="3"/>
      <c r="G532" s="3"/>
      <c r="H532" s="4"/>
      <c r="I532" s="5"/>
      <c r="J532" s="5"/>
    </row>
    <row r="533" spans="3:10" ht="15.75" customHeight="1">
      <c r="C533" s="1"/>
      <c r="E533" s="2"/>
      <c r="F533" s="3"/>
      <c r="G533" s="3"/>
      <c r="H533" s="4"/>
      <c r="I533" s="5"/>
      <c r="J533" s="5"/>
    </row>
    <row r="534" spans="3:10" ht="15.75" customHeight="1">
      <c r="C534" s="1"/>
      <c r="E534" s="2"/>
      <c r="F534" s="3"/>
      <c r="G534" s="3"/>
      <c r="H534" s="4"/>
      <c r="I534" s="5"/>
      <c r="J534" s="5"/>
    </row>
    <row r="535" spans="3:10" ht="15.75" customHeight="1">
      <c r="C535" s="1"/>
      <c r="E535" s="2"/>
      <c r="F535" s="3"/>
      <c r="G535" s="3"/>
      <c r="H535" s="4"/>
      <c r="I535" s="5"/>
      <c r="J535" s="5"/>
    </row>
    <row r="536" spans="3:10" ht="15.75" customHeight="1">
      <c r="C536" s="1"/>
      <c r="E536" s="2"/>
      <c r="F536" s="3"/>
      <c r="G536" s="3"/>
      <c r="H536" s="4"/>
      <c r="I536" s="5"/>
      <c r="J536" s="5"/>
    </row>
    <row r="537" spans="3:10" ht="15.75" customHeight="1">
      <c r="C537" s="1"/>
      <c r="E537" s="2"/>
      <c r="F537" s="3"/>
      <c r="G537" s="3"/>
      <c r="H537" s="4"/>
      <c r="I537" s="5"/>
      <c r="J537" s="5"/>
    </row>
    <row r="538" spans="3:10" ht="15.75" customHeight="1">
      <c r="C538" s="1"/>
      <c r="E538" s="2"/>
      <c r="F538" s="3"/>
      <c r="G538" s="3"/>
      <c r="H538" s="4"/>
      <c r="I538" s="5"/>
      <c r="J538" s="5"/>
    </row>
    <row r="539" spans="3:10" ht="15.75" customHeight="1">
      <c r="C539" s="1"/>
      <c r="E539" s="2"/>
      <c r="F539" s="3"/>
      <c r="G539" s="3"/>
      <c r="H539" s="4"/>
      <c r="I539" s="5"/>
      <c r="J539" s="5"/>
    </row>
    <row r="540" spans="3:10" ht="15.75" customHeight="1">
      <c r="C540" s="1"/>
      <c r="E540" s="2"/>
      <c r="F540" s="3"/>
      <c r="G540" s="3"/>
      <c r="H540" s="4"/>
      <c r="I540" s="5"/>
      <c r="J540" s="5"/>
    </row>
    <row r="541" spans="3:10" ht="15.75" customHeight="1">
      <c r="C541" s="1"/>
      <c r="E541" s="2"/>
      <c r="F541" s="3"/>
      <c r="G541" s="3"/>
      <c r="H541" s="4"/>
      <c r="I541" s="5"/>
      <c r="J541" s="5"/>
    </row>
    <row r="542" spans="3:10" ht="15.75" customHeight="1">
      <c r="C542" s="1"/>
      <c r="E542" s="2"/>
      <c r="F542" s="3"/>
      <c r="G542" s="3"/>
      <c r="H542" s="4"/>
      <c r="I542" s="5"/>
      <c r="J542" s="5"/>
    </row>
    <row r="543" spans="3:10" ht="15.75" customHeight="1">
      <c r="C543" s="1"/>
      <c r="E543" s="2"/>
      <c r="F543" s="3"/>
      <c r="G543" s="3"/>
      <c r="H543" s="4"/>
      <c r="I543" s="5"/>
      <c r="J543" s="5"/>
    </row>
    <row r="544" spans="3:10" ht="15.75" customHeight="1">
      <c r="C544" s="1"/>
      <c r="E544" s="2"/>
      <c r="F544" s="3"/>
      <c r="G544" s="3"/>
      <c r="H544" s="4"/>
      <c r="I544" s="5"/>
      <c r="J544" s="5"/>
    </row>
    <row r="545" spans="3:10" ht="15.75" customHeight="1">
      <c r="C545" s="1"/>
      <c r="E545" s="2"/>
      <c r="F545" s="3"/>
      <c r="G545" s="3"/>
      <c r="H545" s="4"/>
      <c r="I545" s="5"/>
      <c r="J545" s="5"/>
    </row>
    <row r="546" spans="3:10" ht="15.75" customHeight="1">
      <c r="C546" s="1"/>
      <c r="E546" s="2"/>
      <c r="F546" s="3"/>
      <c r="G546" s="3"/>
      <c r="H546" s="4"/>
      <c r="I546" s="5"/>
      <c r="J546" s="5"/>
    </row>
    <row r="547" spans="3:10" ht="15.75" customHeight="1">
      <c r="C547" s="1"/>
      <c r="E547" s="2"/>
      <c r="F547" s="3"/>
      <c r="G547" s="3"/>
      <c r="H547" s="4"/>
      <c r="I547" s="5"/>
      <c r="J547" s="5"/>
    </row>
    <row r="548" spans="3:10" ht="15.75" customHeight="1">
      <c r="C548" s="1"/>
      <c r="E548" s="2"/>
      <c r="F548" s="3"/>
      <c r="G548" s="3"/>
      <c r="H548" s="4"/>
      <c r="I548" s="5"/>
      <c r="J548" s="5"/>
    </row>
    <row r="549" spans="3:10" ht="15.75" customHeight="1">
      <c r="C549" s="1"/>
      <c r="E549" s="2"/>
      <c r="F549" s="3"/>
      <c r="G549" s="3"/>
      <c r="H549" s="4"/>
      <c r="I549" s="5"/>
      <c r="J549" s="5"/>
    </row>
    <row r="550" spans="3:10" ht="15.75" customHeight="1">
      <c r="C550" s="1"/>
      <c r="E550" s="2"/>
      <c r="F550" s="3"/>
      <c r="G550" s="3"/>
      <c r="H550" s="4"/>
      <c r="I550" s="5"/>
      <c r="J550" s="5"/>
    </row>
    <row r="551" spans="3:10" ht="15.75" customHeight="1">
      <c r="C551" s="1"/>
      <c r="E551" s="2"/>
      <c r="F551" s="3"/>
      <c r="G551" s="3"/>
      <c r="H551" s="4"/>
      <c r="I551" s="5"/>
      <c r="J551" s="5"/>
    </row>
    <row r="552" spans="3:10" ht="15.75" customHeight="1">
      <c r="C552" s="1"/>
      <c r="E552" s="2"/>
      <c r="F552" s="3"/>
      <c r="G552" s="3"/>
      <c r="H552" s="4"/>
      <c r="I552" s="5"/>
      <c r="J552" s="5"/>
    </row>
    <row r="553" spans="3:10" ht="15.75" customHeight="1">
      <c r="C553" s="1"/>
      <c r="E553" s="2"/>
      <c r="F553" s="3"/>
      <c r="G553" s="3"/>
      <c r="H553" s="4"/>
      <c r="I553" s="5"/>
      <c r="J553" s="5"/>
    </row>
    <row r="554" spans="3:10" ht="15.75" customHeight="1">
      <c r="C554" s="1"/>
      <c r="E554" s="2"/>
      <c r="F554" s="3"/>
      <c r="G554" s="3"/>
      <c r="H554" s="4"/>
      <c r="I554" s="5"/>
      <c r="J554" s="5"/>
    </row>
    <row r="555" spans="3:10" ht="15.75" customHeight="1">
      <c r="C555" s="1"/>
      <c r="E555" s="2"/>
      <c r="F555" s="3"/>
      <c r="G555" s="3"/>
      <c r="H555" s="4"/>
      <c r="I555" s="5"/>
      <c r="J555" s="5"/>
    </row>
    <row r="556" spans="3:10" ht="15.75" customHeight="1">
      <c r="C556" s="1"/>
      <c r="E556" s="2"/>
      <c r="F556" s="3"/>
      <c r="G556" s="3"/>
      <c r="H556" s="4"/>
      <c r="I556" s="5"/>
      <c r="J556" s="5"/>
    </row>
    <row r="557" spans="3:10" ht="15.75" customHeight="1">
      <c r="C557" s="1"/>
      <c r="E557" s="2"/>
      <c r="F557" s="3"/>
      <c r="G557" s="3"/>
      <c r="H557" s="4"/>
      <c r="I557" s="5"/>
      <c r="J557" s="5"/>
    </row>
    <row r="558" spans="3:10" ht="15.75" customHeight="1">
      <c r="C558" s="1"/>
      <c r="E558" s="2"/>
      <c r="F558" s="3"/>
      <c r="G558" s="3"/>
      <c r="H558" s="4"/>
      <c r="I558" s="5"/>
      <c r="J558" s="5"/>
    </row>
    <row r="559" spans="3:10" ht="15.75" customHeight="1">
      <c r="C559" s="1"/>
      <c r="E559" s="2"/>
      <c r="F559" s="3"/>
      <c r="G559" s="3"/>
      <c r="H559" s="4"/>
      <c r="I559" s="5"/>
      <c r="J559" s="5"/>
    </row>
    <row r="560" spans="3:10" ht="15.75" customHeight="1">
      <c r="C560" s="1"/>
      <c r="E560" s="2"/>
      <c r="F560" s="3"/>
      <c r="G560" s="3"/>
      <c r="H560" s="4"/>
      <c r="I560" s="5"/>
      <c r="J560" s="5"/>
    </row>
    <row r="561" spans="3:10" ht="15.75" customHeight="1">
      <c r="C561" s="1"/>
      <c r="E561" s="2"/>
      <c r="F561" s="3"/>
      <c r="G561" s="3"/>
      <c r="H561" s="4"/>
      <c r="I561" s="5"/>
      <c r="J561" s="5"/>
    </row>
    <row r="562" spans="3:10" ht="15.75" customHeight="1">
      <c r="C562" s="1"/>
      <c r="E562" s="2"/>
      <c r="F562" s="3"/>
      <c r="G562" s="3"/>
      <c r="H562" s="4"/>
      <c r="I562" s="5"/>
      <c r="J562" s="5"/>
    </row>
    <row r="563" spans="3:10" ht="15.75" customHeight="1">
      <c r="C563" s="1"/>
      <c r="E563" s="2"/>
      <c r="F563" s="3"/>
      <c r="G563" s="3"/>
      <c r="H563" s="4"/>
      <c r="I563" s="5"/>
      <c r="J563" s="5"/>
    </row>
    <row r="564" spans="3:10" ht="15.75" customHeight="1">
      <c r="C564" s="1"/>
      <c r="E564" s="2"/>
      <c r="F564" s="3"/>
      <c r="G564" s="3"/>
      <c r="H564" s="4"/>
      <c r="I564" s="5"/>
      <c r="J564" s="5"/>
    </row>
    <row r="565" spans="3:10" ht="15.75" customHeight="1">
      <c r="C565" s="1"/>
      <c r="E565" s="2"/>
      <c r="F565" s="3"/>
      <c r="G565" s="3"/>
      <c r="H565" s="4"/>
      <c r="I565" s="5"/>
      <c r="J565" s="5"/>
    </row>
    <row r="566" spans="3:10" ht="15.75" customHeight="1">
      <c r="C566" s="1"/>
      <c r="E566" s="2"/>
      <c r="F566" s="3"/>
      <c r="G566" s="3"/>
      <c r="H566" s="4"/>
      <c r="I566" s="5"/>
      <c r="J566" s="5"/>
    </row>
    <row r="567" spans="3:10" ht="15.75" customHeight="1">
      <c r="C567" s="1"/>
      <c r="E567" s="2"/>
      <c r="F567" s="3"/>
      <c r="G567" s="3"/>
      <c r="H567" s="4"/>
      <c r="I567" s="5"/>
      <c r="J567" s="5"/>
    </row>
    <row r="568" spans="3:10" ht="15.75" customHeight="1">
      <c r="C568" s="1"/>
      <c r="E568" s="2"/>
      <c r="F568" s="3"/>
      <c r="G568" s="3"/>
      <c r="H568" s="4"/>
      <c r="I568" s="5"/>
      <c r="J568" s="5"/>
    </row>
    <row r="569" spans="3:10" ht="15.75" customHeight="1">
      <c r="C569" s="1"/>
      <c r="E569" s="2"/>
      <c r="F569" s="3"/>
      <c r="G569" s="3"/>
      <c r="H569" s="4"/>
      <c r="I569" s="5"/>
      <c r="J569" s="5"/>
    </row>
    <row r="570" spans="3:10" ht="15.75" customHeight="1">
      <c r="C570" s="1"/>
      <c r="E570" s="2"/>
      <c r="F570" s="3"/>
      <c r="G570" s="3"/>
      <c r="H570" s="4"/>
      <c r="I570" s="5"/>
      <c r="J570" s="5"/>
    </row>
    <row r="571" spans="3:10" ht="15.75" customHeight="1">
      <c r="C571" s="1"/>
      <c r="E571" s="2"/>
      <c r="F571" s="3"/>
      <c r="G571" s="3"/>
      <c r="H571" s="4"/>
      <c r="I571" s="5"/>
      <c r="J571" s="5"/>
    </row>
    <row r="572" spans="3:10" ht="15.75" customHeight="1">
      <c r="C572" s="1"/>
      <c r="E572" s="2"/>
      <c r="F572" s="3"/>
      <c r="G572" s="3"/>
      <c r="H572" s="4"/>
      <c r="I572" s="5"/>
      <c r="J572" s="5"/>
    </row>
    <row r="573" spans="3:10" ht="15.75" customHeight="1">
      <c r="C573" s="1"/>
      <c r="E573" s="2"/>
      <c r="F573" s="3"/>
      <c r="G573" s="3"/>
      <c r="H573" s="4"/>
      <c r="I573" s="5"/>
      <c r="J573" s="5"/>
    </row>
    <row r="574" spans="3:10" ht="15.75" customHeight="1">
      <c r="C574" s="1"/>
      <c r="E574" s="2"/>
      <c r="F574" s="3"/>
      <c r="G574" s="3"/>
      <c r="H574" s="4"/>
      <c r="I574" s="5"/>
      <c r="J574" s="5"/>
    </row>
    <row r="575" spans="3:10" ht="15.75" customHeight="1">
      <c r="C575" s="1"/>
      <c r="E575" s="2"/>
      <c r="F575" s="3"/>
      <c r="G575" s="3"/>
      <c r="H575" s="4"/>
      <c r="I575" s="5"/>
      <c r="J575" s="5"/>
    </row>
    <row r="576" spans="3:10" ht="15.75" customHeight="1">
      <c r="C576" s="1"/>
      <c r="E576" s="2"/>
      <c r="F576" s="3"/>
      <c r="G576" s="3"/>
      <c r="H576" s="4"/>
      <c r="I576" s="5"/>
      <c r="J576" s="5"/>
    </row>
    <row r="577" spans="3:10" ht="15.75" customHeight="1">
      <c r="C577" s="1"/>
      <c r="E577" s="2"/>
      <c r="F577" s="3"/>
      <c r="G577" s="3"/>
      <c r="H577" s="4"/>
      <c r="I577" s="5"/>
      <c r="J577" s="5"/>
    </row>
    <row r="578" spans="3:10" ht="15.75" customHeight="1">
      <c r="C578" s="1"/>
      <c r="E578" s="2"/>
      <c r="F578" s="3"/>
      <c r="G578" s="3"/>
      <c r="H578" s="4"/>
      <c r="I578" s="5"/>
      <c r="J578" s="5"/>
    </row>
    <row r="579" spans="3:10" ht="15.75" customHeight="1">
      <c r="C579" s="1"/>
      <c r="E579" s="2"/>
      <c r="F579" s="3"/>
      <c r="G579" s="3"/>
      <c r="H579" s="4"/>
      <c r="I579" s="5"/>
      <c r="J579" s="5"/>
    </row>
    <row r="580" spans="3:10" ht="15.75" customHeight="1">
      <c r="C580" s="1"/>
      <c r="E580" s="2"/>
      <c r="F580" s="3"/>
      <c r="G580" s="3"/>
      <c r="H580" s="4"/>
      <c r="I580" s="5"/>
      <c r="J580" s="5"/>
    </row>
    <row r="581" spans="3:10" ht="15.75" customHeight="1">
      <c r="C581" s="1"/>
      <c r="E581" s="2"/>
      <c r="F581" s="3"/>
      <c r="G581" s="3"/>
      <c r="H581" s="4"/>
      <c r="I581" s="5"/>
      <c r="J581" s="5"/>
    </row>
    <row r="582" spans="3:10" ht="15.75" customHeight="1">
      <c r="C582" s="1"/>
      <c r="E582" s="2"/>
      <c r="F582" s="3"/>
      <c r="G582" s="3"/>
      <c r="H582" s="4"/>
      <c r="I582" s="5"/>
      <c r="J582" s="5"/>
    </row>
    <row r="583" spans="3:10" ht="15.75" customHeight="1">
      <c r="C583" s="1"/>
      <c r="E583" s="2"/>
      <c r="F583" s="3"/>
      <c r="G583" s="3"/>
      <c r="H583" s="4"/>
      <c r="I583" s="5"/>
      <c r="J583" s="5"/>
    </row>
    <row r="584" spans="3:10" ht="15.75" customHeight="1">
      <c r="C584" s="1"/>
      <c r="E584" s="2"/>
      <c r="F584" s="3"/>
      <c r="G584" s="3"/>
      <c r="H584" s="4"/>
      <c r="I584" s="5"/>
      <c r="J584" s="5"/>
    </row>
    <row r="585" spans="3:10" ht="15.75" customHeight="1">
      <c r="C585" s="1"/>
      <c r="E585" s="2"/>
      <c r="F585" s="3"/>
      <c r="G585" s="3"/>
      <c r="H585" s="4"/>
      <c r="I585" s="5"/>
      <c r="J585" s="5"/>
    </row>
    <row r="586" spans="3:10" ht="15.75" customHeight="1">
      <c r="C586" s="1"/>
      <c r="E586" s="2"/>
      <c r="F586" s="3"/>
      <c r="G586" s="3"/>
      <c r="H586" s="4"/>
      <c r="I586" s="5"/>
      <c r="J586" s="5"/>
    </row>
    <row r="587" spans="3:10" ht="15.75" customHeight="1">
      <c r="C587" s="1"/>
      <c r="E587" s="2"/>
      <c r="F587" s="3"/>
      <c r="G587" s="3"/>
      <c r="H587" s="4"/>
      <c r="I587" s="5"/>
      <c r="J587" s="5"/>
    </row>
    <row r="588" spans="3:10" ht="15.75" customHeight="1">
      <c r="C588" s="1"/>
      <c r="E588" s="2"/>
      <c r="F588" s="3"/>
      <c r="G588" s="3"/>
      <c r="H588" s="4"/>
      <c r="I588" s="5"/>
      <c r="J588" s="5"/>
    </row>
    <row r="589" spans="3:10" ht="15.75" customHeight="1">
      <c r="C589" s="1"/>
      <c r="E589" s="2"/>
      <c r="F589" s="3"/>
      <c r="G589" s="3"/>
      <c r="H589" s="4"/>
      <c r="I589" s="5"/>
      <c r="J589" s="5"/>
    </row>
    <row r="590" spans="3:10" ht="15.75" customHeight="1">
      <c r="C590" s="1"/>
      <c r="E590" s="2"/>
      <c r="F590" s="3"/>
      <c r="G590" s="3"/>
      <c r="H590" s="4"/>
      <c r="I590" s="5"/>
      <c r="J590" s="5"/>
    </row>
    <row r="591" spans="3:10" ht="15.75" customHeight="1">
      <c r="C591" s="1"/>
      <c r="E591" s="2"/>
      <c r="F591" s="3"/>
      <c r="G591" s="3"/>
      <c r="H591" s="4"/>
      <c r="I591" s="5"/>
      <c r="J591" s="5"/>
    </row>
    <row r="592" spans="3:10" ht="15.75" customHeight="1">
      <c r="C592" s="1"/>
      <c r="E592" s="2"/>
      <c r="F592" s="3"/>
      <c r="G592" s="3"/>
      <c r="H592" s="4"/>
      <c r="I592" s="5"/>
      <c r="J592" s="5"/>
    </row>
    <row r="593" spans="3:10" ht="15.75" customHeight="1">
      <c r="C593" s="1"/>
      <c r="E593" s="2"/>
      <c r="F593" s="3"/>
      <c r="G593" s="3"/>
      <c r="H593" s="4"/>
      <c r="I593" s="5"/>
      <c r="J593" s="5"/>
    </row>
    <row r="594" spans="3:10" ht="15.75" customHeight="1">
      <c r="C594" s="1"/>
      <c r="E594" s="2"/>
      <c r="F594" s="3"/>
      <c r="G594" s="3"/>
      <c r="H594" s="4"/>
      <c r="I594" s="5"/>
      <c r="J594" s="5"/>
    </row>
    <row r="595" spans="3:10" ht="15.75" customHeight="1">
      <c r="C595" s="1"/>
      <c r="E595" s="2"/>
      <c r="F595" s="3"/>
      <c r="G595" s="3"/>
      <c r="H595" s="4"/>
      <c r="I595" s="5"/>
      <c r="J595" s="5"/>
    </row>
    <row r="596" spans="3:10" ht="15.75" customHeight="1">
      <c r="C596" s="1"/>
      <c r="E596" s="2"/>
      <c r="F596" s="3"/>
      <c r="G596" s="3"/>
      <c r="H596" s="4"/>
      <c r="I596" s="5"/>
      <c r="J596" s="5"/>
    </row>
    <row r="597" spans="3:10" ht="15.75" customHeight="1">
      <c r="C597" s="1"/>
      <c r="E597" s="2"/>
      <c r="F597" s="3"/>
      <c r="G597" s="3"/>
      <c r="H597" s="4"/>
      <c r="I597" s="5"/>
      <c r="J597" s="5"/>
    </row>
    <row r="598" spans="3:10" ht="15.75" customHeight="1">
      <c r="C598" s="1"/>
      <c r="E598" s="2"/>
      <c r="F598" s="3"/>
      <c r="G598" s="3"/>
      <c r="H598" s="4"/>
      <c r="I598" s="5"/>
      <c r="J598" s="5"/>
    </row>
    <row r="599" spans="3:10" ht="15.75" customHeight="1">
      <c r="C599" s="1"/>
      <c r="E599" s="2"/>
      <c r="F599" s="3"/>
      <c r="G599" s="3"/>
      <c r="H599" s="4"/>
      <c r="I599" s="5"/>
      <c r="J599" s="5"/>
    </row>
    <row r="600" spans="3:10" ht="15.75" customHeight="1">
      <c r="C600" s="1"/>
      <c r="E600" s="2"/>
      <c r="F600" s="3"/>
      <c r="G600" s="3"/>
      <c r="H600" s="4"/>
      <c r="I600" s="5"/>
      <c r="J600" s="5"/>
    </row>
    <row r="601" spans="3:10" ht="15.75" customHeight="1">
      <c r="C601" s="1"/>
      <c r="E601" s="2"/>
      <c r="F601" s="3"/>
      <c r="G601" s="3"/>
      <c r="H601" s="4"/>
      <c r="I601" s="5"/>
      <c r="J601" s="5"/>
    </row>
    <row r="602" spans="3:10" ht="15.75" customHeight="1">
      <c r="C602" s="1"/>
      <c r="E602" s="2"/>
      <c r="F602" s="3"/>
      <c r="G602" s="3"/>
      <c r="H602" s="4"/>
      <c r="I602" s="5"/>
      <c r="J602" s="5"/>
    </row>
    <row r="603" spans="3:10" ht="15.75" customHeight="1">
      <c r="C603" s="1"/>
      <c r="E603" s="2"/>
      <c r="F603" s="3"/>
      <c r="G603" s="3"/>
      <c r="H603" s="4"/>
      <c r="I603" s="5"/>
      <c r="J603" s="5"/>
    </row>
    <row r="604" spans="3:10" ht="15.75" customHeight="1">
      <c r="C604" s="1"/>
      <c r="E604" s="2"/>
      <c r="F604" s="3"/>
      <c r="G604" s="3"/>
      <c r="H604" s="4"/>
      <c r="I604" s="5"/>
      <c r="J604" s="5"/>
    </row>
    <row r="605" spans="3:10" ht="15.75" customHeight="1">
      <c r="C605" s="1"/>
      <c r="E605" s="2"/>
      <c r="F605" s="3"/>
      <c r="G605" s="3"/>
      <c r="H605" s="4"/>
      <c r="I605" s="5"/>
      <c r="J605" s="5"/>
    </row>
    <row r="606" spans="3:10" ht="15.75" customHeight="1">
      <c r="C606" s="1"/>
      <c r="E606" s="2"/>
      <c r="F606" s="3"/>
      <c r="G606" s="3"/>
      <c r="H606" s="4"/>
      <c r="I606" s="5"/>
      <c r="J606" s="5"/>
    </row>
    <row r="607" spans="3:10" ht="15.75" customHeight="1">
      <c r="C607" s="1"/>
      <c r="E607" s="2"/>
      <c r="F607" s="3"/>
      <c r="G607" s="3"/>
      <c r="H607" s="4"/>
      <c r="I607" s="5"/>
      <c r="J607" s="5"/>
    </row>
    <row r="608" spans="3:10" ht="15.75" customHeight="1">
      <c r="C608" s="1"/>
      <c r="E608" s="2"/>
      <c r="F608" s="3"/>
      <c r="G608" s="3"/>
      <c r="H608" s="4"/>
      <c r="I608" s="5"/>
      <c r="J608" s="5"/>
    </row>
    <row r="609" spans="3:10" ht="15.75" customHeight="1">
      <c r="C609" s="1"/>
      <c r="E609" s="2"/>
      <c r="F609" s="3"/>
      <c r="G609" s="3"/>
      <c r="H609" s="4"/>
      <c r="I609" s="5"/>
      <c r="J609" s="5"/>
    </row>
    <row r="610" spans="3:10" ht="15.75" customHeight="1">
      <c r="C610" s="1"/>
      <c r="E610" s="2"/>
      <c r="F610" s="3"/>
      <c r="G610" s="3"/>
      <c r="H610" s="4"/>
      <c r="I610" s="5"/>
      <c r="J610" s="5"/>
    </row>
    <row r="611" spans="3:10" ht="15.75" customHeight="1">
      <c r="C611" s="1"/>
      <c r="E611" s="2"/>
      <c r="F611" s="3"/>
      <c r="G611" s="3"/>
      <c r="H611" s="4"/>
      <c r="I611" s="5"/>
      <c r="J611" s="5"/>
    </row>
    <row r="612" spans="3:10" ht="15.75" customHeight="1">
      <c r="C612" s="1"/>
      <c r="E612" s="2"/>
      <c r="F612" s="3"/>
      <c r="G612" s="3"/>
      <c r="H612" s="4"/>
      <c r="I612" s="5"/>
      <c r="J612" s="5"/>
    </row>
    <row r="613" spans="3:10" ht="15.75" customHeight="1">
      <c r="C613" s="1"/>
      <c r="E613" s="2"/>
      <c r="F613" s="3"/>
      <c r="G613" s="3"/>
      <c r="H613" s="4"/>
      <c r="I613" s="5"/>
      <c r="J613" s="5"/>
    </row>
    <row r="614" spans="3:10" ht="15.75" customHeight="1">
      <c r="C614" s="1"/>
      <c r="E614" s="2"/>
      <c r="F614" s="3"/>
      <c r="G614" s="3"/>
      <c r="H614" s="4"/>
      <c r="I614" s="5"/>
      <c r="J614" s="5"/>
    </row>
    <row r="615" spans="3:10" ht="15.75" customHeight="1">
      <c r="C615" s="1"/>
      <c r="E615" s="2"/>
      <c r="F615" s="3"/>
      <c r="G615" s="3"/>
      <c r="H615" s="4"/>
      <c r="I615" s="5"/>
      <c r="J615" s="5"/>
    </row>
    <row r="616" spans="3:10" ht="15.75" customHeight="1">
      <c r="C616" s="1"/>
      <c r="E616" s="2"/>
      <c r="F616" s="3"/>
      <c r="G616" s="3"/>
      <c r="H616" s="4"/>
      <c r="I616" s="5"/>
      <c r="J616" s="5"/>
    </row>
    <row r="617" spans="3:10" ht="15.75" customHeight="1">
      <c r="C617" s="1"/>
      <c r="E617" s="2"/>
      <c r="F617" s="3"/>
      <c r="G617" s="3"/>
      <c r="H617" s="4"/>
      <c r="I617" s="5"/>
      <c r="J617" s="5"/>
    </row>
    <row r="618" spans="3:10" ht="15.75" customHeight="1">
      <c r="C618" s="1"/>
      <c r="E618" s="2"/>
      <c r="F618" s="3"/>
      <c r="G618" s="3"/>
      <c r="H618" s="4"/>
      <c r="I618" s="5"/>
      <c r="J618" s="5"/>
    </row>
    <row r="619" spans="3:10" ht="15.75" customHeight="1">
      <c r="C619" s="1"/>
      <c r="E619" s="2"/>
      <c r="F619" s="3"/>
      <c r="G619" s="3"/>
      <c r="H619" s="4"/>
      <c r="I619" s="5"/>
      <c r="J619" s="5"/>
    </row>
    <row r="620" spans="3:10" ht="15.75" customHeight="1">
      <c r="C620" s="1"/>
      <c r="E620" s="2"/>
      <c r="F620" s="3"/>
      <c r="G620" s="3"/>
      <c r="H620" s="4"/>
      <c r="I620" s="5"/>
      <c r="J620" s="5"/>
    </row>
    <row r="621" spans="3:10" ht="15.75" customHeight="1">
      <c r="C621" s="1"/>
      <c r="E621" s="2"/>
      <c r="F621" s="3"/>
      <c r="G621" s="3"/>
      <c r="H621" s="4"/>
      <c r="I621" s="5"/>
      <c r="J621" s="5"/>
    </row>
    <row r="622" spans="3:10" ht="15.75" customHeight="1">
      <c r="C622" s="1"/>
      <c r="E622" s="2"/>
      <c r="F622" s="3"/>
      <c r="G622" s="3"/>
      <c r="H622" s="4"/>
      <c r="I622" s="5"/>
      <c r="J622" s="5"/>
    </row>
    <row r="623" spans="3:10" ht="15.75" customHeight="1">
      <c r="C623" s="1"/>
      <c r="E623" s="2"/>
      <c r="F623" s="3"/>
      <c r="G623" s="3"/>
      <c r="H623" s="4"/>
      <c r="I623" s="5"/>
      <c r="J623" s="5"/>
    </row>
    <row r="624" spans="3:10" ht="15.75" customHeight="1">
      <c r="C624" s="1"/>
      <c r="E624" s="2"/>
      <c r="F624" s="3"/>
      <c r="G624" s="3"/>
      <c r="H624" s="4"/>
      <c r="I624" s="5"/>
      <c r="J624" s="5"/>
    </row>
    <row r="625" spans="3:10" ht="15.75" customHeight="1">
      <c r="C625" s="1"/>
      <c r="E625" s="2"/>
      <c r="F625" s="3"/>
      <c r="G625" s="3"/>
      <c r="H625" s="4"/>
      <c r="I625" s="5"/>
      <c r="J625" s="5"/>
    </row>
    <row r="626" spans="3:10" ht="15.75" customHeight="1">
      <c r="C626" s="1"/>
      <c r="E626" s="2"/>
      <c r="F626" s="3"/>
      <c r="G626" s="3"/>
      <c r="H626" s="4"/>
      <c r="I626" s="5"/>
      <c r="J626" s="5"/>
    </row>
    <row r="627" spans="3:10" ht="15.75" customHeight="1">
      <c r="C627" s="1"/>
      <c r="E627" s="2"/>
      <c r="F627" s="3"/>
      <c r="G627" s="3"/>
      <c r="H627" s="4"/>
      <c r="I627" s="5"/>
      <c r="J627" s="5"/>
    </row>
    <row r="628" spans="3:10" ht="15.75" customHeight="1">
      <c r="C628" s="1"/>
      <c r="E628" s="2"/>
      <c r="F628" s="3"/>
      <c r="G628" s="3"/>
      <c r="H628" s="4"/>
      <c r="I628" s="5"/>
      <c r="J628" s="5"/>
    </row>
    <row r="629" spans="3:10" ht="15.75" customHeight="1">
      <c r="C629" s="1"/>
      <c r="E629" s="2"/>
      <c r="F629" s="3"/>
      <c r="G629" s="3"/>
      <c r="H629" s="4"/>
      <c r="I629" s="5"/>
      <c r="J629" s="5"/>
    </row>
    <row r="630" spans="3:10" ht="15.75" customHeight="1">
      <c r="C630" s="1"/>
      <c r="E630" s="2"/>
      <c r="F630" s="3"/>
      <c r="G630" s="3"/>
      <c r="H630" s="4"/>
      <c r="I630" s="5"/>
      <c r="J630" s="5"/>
    </row>
    <row r="631" spans="3:10" ht="15.75" customHeight="1">
      <c r="C631" s="1"/>
      <c r="E631" s="2"/>
      <c r="F631" s="3"/>
      <c r="G631" s="3"/>
      <c r="H631" s="4"/>
      <c r="I631" s="5"/>
      <c r="J631" s="5"/>
    </row>
    <row r="632" spans="3:10" ht="15.75" customHeight="1">
      <c r="C632" s="1"/>
      <c r="E632" s="2"/>
      <c r="F632" s="3"/>
      <c r="G632" s="3"/>
      <c r="H632" s="4"/>
      <c r="I632" s="5"/>
      <c r="J632" s="5"/>
    </row>
    <row r="633" spans="3:10" ht="15.75" customHeight="1">
      <c r="C633" s="1"/>
      <c r="E633" s="2"/>
      <c r="F633" s="3"/>
      <c r="G633" s="3"/>
      <c r="H633" s="4"/>
      <c r="I633" s="5"/>
      <c r="J633" s="5"/>
    </row>
    <row r="634" spans="3:10" ht="15.75" customHeight="1">
      <c r="C634" s="1"/>
      <c r="E634" s="2"/>
      <c r="F634" s="3"/>
      <c r="G634" s="3"/>
      <c r="H634" s="4"/>
      <c r="I634" s="5"/>
      <c r="J634" s="5"/>
    </row>
    <row r="635" spans="3:10" ht="15.75" customHeight="1">
      <c r="C635" s="1"/>
      <c r="E635" s="2"/>
      <c r="F635" s="3"/>
      <c r="G635" s="3"/>
      <c r="H635" s="4"/>
      <c r="I635" s="5"/>
      <c r="J635" s="5"/>
    </row>
    <row r="636" spans="3:10" ht="15.75" customHeight="1">
      <c r="C636" s="1"/>
      <c r="E636" s="2"/>
      <c r="F636" s="3"/>
      <c r="G636" s="3"/>
      <c r="H636" s="4"/>
      <c r="I636" s="5"/>
      <c r="J636" s="5"/>
    </row>
    <row r="637" spans="3:10" ht="15.75" customHeight="1">
      <c r="C637" s="1"/>
      <c r="E637" s="2"/>
      <c r="F637" s="3"/>
      <c r="G637" s="3"/>
      <c r="H637" s="4"/>
      <c r="I637" s="5"/>
      <c r="J637" s="5"/>
    </row>
    <row r="638" spans="3:10" ht="15.75" customHeight="1">
      <c r="C638" s="1"/>
      <c r="E638" s="2"/>
      <c r="F638" s="3"/>
      <c r="G638" s="3"/>
      <c r="H638" s="4"/>
      <c r="I638" s="5"/>
      <c r="J638" s="5"/>
    </row>
    <row r="639" spans="3:10" ht="15.75" customHeight="1">
      <c r="C639" s="1"/>
      <c r="E639" s="2"/>
      <c r="F639" s="3"/>
      <c r="G639" s="3"/>
      <c r="H639" s="4"/>
      <c r="I639" s="5"/>
      <c r="J639" s="5"/>
    </row>
    <row r="640" spans="3:10" ht="15.75" customHeight="1">
      <c r="C640" s="1"/>
      <c r="E640" s="2"/>
      <c r="F640" s="3"/>
      <c r="G640" s="3"/>
      <c r="H640" s="4"/>
      <c r="I640" s="5"/>
      <c r="J640" s="5"/>
    </row>
    <row r="641" spans="3:10" ht="15.75" customHeight="1">
      <c r="C641" s="1"/>
      <c r="E641" s="2"/>
      <c r="F641" s="3"/>
      <c r="G641" s="3"/>
      <c r="H641" s="4"/>
      <c r="I641" s="5"/>
      <c r="J641" s="5"/>
    </row>
    <row r="642" spans="3:10" ht="15.75" customHeight="1">
      <c r="C642" s="1"/>
      <c r="E642" s="2"/>
      <c r="F642" s="3"/>
      <c r="G642" s="3"/>
      <c r="H642" s="4"/>
      <c r="I642" s="5"/>
      <c r="J642" s="5"/>
    </row>
    <row r="643" spans="3:10" ht="15.75" customHeight="1">
      <c r="C643" s="1"/>
      <c r="E643" s="2"/>
      <c r="F643" s="3"/>
      <c r="G643" s="3"/>
      <c r="H643" s="4"/>
      <c r="I643" s="5"/>
      <c r="J643" s="5"/>
    </row>
    <row r="644" spans="3:10" ht="15.75" customHeight="1">
      <c r="C644" s="1"/>
      <c r="E644" s="2"/>
      <c r="F644" s="3"/>
      <c r="G644" s="3"/>
      <c r="H644" s="4"/>
      <c r="I644" s="5"/>
      <c r="J644" s="5"/>
    </row>
    <row r="645" spans="3:10" ht="15.75" customHeight="1">
      <c r="C645" s="1"/>
      <c r="E645" s="2"/>
      <c r="F645" s="3"/>
      <c r="G645" s="3"/>
      <c r="H645" s="4"/>
      <c r="I645" s="5"/>
      <c r="J645" s="5"/>
    </row>
    <row r="646" spans="3:10" ht="15.75" customHeight="1">
      <c r="C646" s="1"/>
      <c r="E646" s="2"/>
      <c r="F646" s="3"/>
      <c r="G646" s="3"/>
      <c r="H646" s="4"/>
      <c r="I646" s="5"/>
      <c r="J646" s="5"/>
    </row>
    <row r="647" spans="3:10" ht="15.75" customHeight="1">
      <c r="C647" s="1"/>
      <c r="E647" s="2"/>
      <c r="F647" s="3"/>
      <c r="G647" s="3"/>
      <c r="H647" s="4"/>
      <c r="I647" s="5"/>
      <c r="J647" s="5"/>
    </row>
    <row r="648" spans="3:10" ht="15.75" customHeight="1">
      <c r="C648" s="1"/>
      <c r="E648" s="2"/>
      <c r="F648" s="3"/>
      <c r="G648" s="3"/>
      <c r="H648" s="4"/>
      <c r="I648" s="5"/>
      <c r="J648" s="5"/>
    </row>
    <row r="649" spans="3:10" ht="15.75" customHeight="1">
      <c r="C649" s="1"/>
      <c r="E649" s="2"/>
      <c r="F649" s="3"/>
      <c r="G649" s="3"/>
      <c r="H649" s="4"/>
      <c r="I649" s="5"/>
      <c r="J649" s="5"/>
    </row>
    <row r="650" spans="3:10" ht="15.75" customHeight="1">
      <c r="C650" s="1"/>
      <c r="E650" s="2"/>
      <c r="F650" s="3"/>
      <c r="G650" s="3"/>
      <c r="H650" s="4"/>
      <c r="I650" s="5"/>
      <c r="J650" s="5"/>
    </row>
    <row r="651" spans="3:10" ht="15.75" customHeight="1">
      <c r="C651" s="1"/>
      <c r="E651" s="2"/>
      <c r="F651" s="3"/>
      <c r="G651" s="3"/>
      <c r="H651" s="4"/>
      <c r="I651" s="5"/>
      <c r="J651" s="5"/>
    </row>
    <row r="652" spans="3:10" ht="15.75" customHeight="1">
      <c r="C652" s="1"/>
      <c r="E652" s="2"/>
      <c r="F652" s="3"/>
      <c r="G652" s="3"/>
      <c r="H652" s="4"/>
      <c r="I652" s="5"/>
      <c r="J652" s="5"/>
    </row>
    <row r="653" spans="3:10" ht="15.75" customHeight="1">
      <c r="C653" s="1"/>
      <c r="E653" s="2"/>
      <c r="F653" s="3"/>
      <c r="G653" s="3"/>
      <c r="H653" s="4"/>
      <c r="I653" s="5"/>
      <c r="J653" s="5"/>
    </row>
    <row r="654" spans="3:10" ht="15.75" customHeight="1">
      <c r="C654" s="1"/>
      <c r="E654" s="2"/>
      <c r="F654" s="3"/>
      <c r="G654" s="3"/>
      <c r="H654" s="4"/>
      <c r="I654" s="5"/>
      <c r="J654" s="5"/>
    </row>
    <row r="655" spans="3:10" ht="15.75" customHeight="1">
      <c r="C655" s="1"/>
      <c r="E655" s="2"/>
      <c r="F655" s="3"/>
      <c r="G655" s="3"/>
      <c r="H655" s="4"/>
      <c r="I655" s="5"/>
      <c r="J655" s="5"/>
    </row>
    <row r="656" spans="3:10" ht="15.75" customHeight="1">
      <c r="C656" s="1"/>
      <c r="E656" s="2"/>
      <c r="F656" s="3"/>
      <c r="G656" s="3"/>
      <c r="H656" s="4"/>
      <c r="I656" s="5"/>
      <c r="J656" s="5"/>
    </row>
    <row r="657" spans="3:10" ht="15.75" customHeight="1">
      <c r="C657" s="1"/>
      <c r="E657" s="2"/>
      <c r="F657" s="3"/>
      <c r="G657" s="3"/>
      <c r="H657" s="4"/>
      <c r="I657" s="5"/>
      <c r="J657" s="5"/>
    </row>
    <row r="658" spans="3:10" ht="15.75" customHeight="1">
      <c r="C658" s="1"/>
      <c r="E658" s="2"/>
      <c r="F658" s="3"/>
      <c r="G658" s="3"/>
      <c r="H658" s="4"/>
      <c r="I658" s="5"/>
      <c r="J658" s="5"/>
    </row>
    <row r="659" spans="3:10" ht="15.75" customHeight="1">
      <c r="C659" s="1"/>
      <c r="E659" s="2"/>
      <c r="F659" s="3"/>
      <c r="G659" s="3"/>
      <c r="H659" s="4"/>
      <c r="I659" s="5"/>
      <c r="J659" s="5"/>
    </row>
    <row r="660" spans="3:10" ht="15.75" customHeight="1">
      <c r="C660" s="1"/>
      <c r="E660" s="2"/>
      <c r="F660" s="3"/>
      <c r="G660" s="3"/>
      <c r="H660" s="4"/>
      <c r="I660" s="5"/>
      <c r="J660" s="5"/>
    </row>
    <row r="661" spans="3:10" ht="15.75" customHeight="1">
      <c r="C661" s="1"/>
      <c r="E661" s="2"/>
      <c r="F661" s="3"/>
      <c r="G661" s="3"/>
      <c r="H661" s="4"/>
      <c r="I661" s="5"/>
      <c r="J661" s="5"/>
    </row>
    <row r="662" spans="3:10" ht="15.75" customHeight="1">
      <c r="C662" s="1"/>
      <c r="E662" s="2"/>
      <c r="F662" s="3"/>
      <c r="G662" s="3"/>
      <c r="H662" s="4"/>
      <c r="I662" s="5"/>
      <c r="J662" s="5"/>
    </row>
    <row r="663" spans="3:10" ht="15.75" customHeight="1">
      <c r="C663" s="1"/>
      <c r="E663" s="2"/>
      <c r="F663" s="3"/>
      <c r="G663" s="3"/>
      <c r="H663" s="4"/>
      <c r="I663" s="5"/>
      <c r="J663" s="5"/>
    </row>
    <row r="664" spans="3:10" ht="15.75" customHeight="1">
      <c r="C664" s="1"/>
      <c r="E664" s="2"/>
      <c r="F664" s="3"/>
      <c r="G664" s="3"/>
      <c r="H664" s="4"/>
      <c r="I664" s="5"/>
      <c r="J664" s="5"/>
    </row>
    <row r="665" spans="3:10" ht="15.75" customHeight="1">
      <c r="C665" s="1"/>
      <c r="E665" s="2"/>
      <c r="F665" s="3"/>
      <c r="G665" s="3"/>
      <c r="H665" s="4"/>
      <c r="I665" s="5"/>
      <c r="J665" s="5"/>
    </row>
    <row r="666" spans="3:10" ht="15.75" customHeight="1">
      <c r="C666" s="1"/>
      <c r="E666" s="2"/>
      <c r="F666" s="3"/>
      <c r="G666" s="3"/>
      <c r="H666" s="4"/>
      <c r="I666" s="5"/>
      <c r="J666" s="5"/>
    </row>
    <row r="667" spans="3:10" ht="15.75" customHeight="1">
      <c r="C667" s="1"/>
      <c r="E667" s="2"/>
      <c r="F667" s="3"/>
      <c r="G667" s="3"/>
      <c r="H667" s="4"/>
      <c r="I667" s="5"/>
      <c r="J667" s="5"/>
    </row>
    <row r="668" spans="3:10" ht="15.75" customHeight="1">
      <c r="C668" s="1"/>
      <c r="E668" s="2"/>
      <c r="F668" s="3"/>
      <c r="G668" s="3"/>
      <c r="H668" s="4"/>
      <c r="I668" s="5"/>
      <c r="J668" s="5"/>
    </row>
    <row r="669" spans="3:10" ht="15.75" customHeight="1">
      <c r="C669" s="1"/>
      <c r="E669" s="2"/>
      <c r="F669" s="3"/>
      <c r="G669" s="3"/>
      <c r="H669" s="4"/>
      <c r="I669" s="5"/>
      <c r="J669" s="5"/>
    </row>
    <row r="670" spans="3:10" ht="15.75" customHeight="1">
      <c r="C670" s="1"/>
      <c r="E670" s="2"/>
      <c r="F670" s="3"/>
      <c r="G670" s="3"/>
      <c r="H670" s="4"/>
      <c r="I670" s="5"/>
      <c r="J670" s="5"/>
    </row>
    <row r="671" spans="3:10" ht="15.75" customHeight="1">
      <c r="C671" s="1"/>
      <c r="E671" s="2"/>
      <c r="F671" s="3"/>
      <c r="G671" s="3"/>
      <c r="H671" s="4"/>
      <c r="I671" s="5"/>
      <c r="J671" s="5"/>
    </row>
    <row r="672" spans="3:10" ht="15.75" customHeight="1">
      <c r="C672" s="1"/>
      <c r="E672" s="2"/>
      <c r="F672" s="3"/>
      <c r="G672" s="3"/>
      <c r="H672" s="4"/>
      <c r="I672" s="5"/>
      <c r="J672" s="5"/>
    </row>
    <row r="673" spans="3:10" ht="15.75" customHeight="1">
      <c r="C673" s="1"/>
      <c r="E673" s="2"/>
      <c r="F673" s="3"/>
      <c r="G673" s="3"/>
      <c r="H673" s="4"/>
      <c r="I673" s="5"/>
      <c r="J673" s="5"/>
    </row>
    <row r="674" spans="3:10" ht="15.75" customHeight="1">
      <c r="C674" s="1"/>
      <c r="E674" s="2"/>
      <c r="F674" s="3"/>
      <c r="G674" s="3"/>
      <c r="H674" s="4"/>
      <c r="I674" s="5"/>
      <c r="J674" s="5"/>
    </row>
    <row r="675" spans="3:10" ht="15.75" customHeight="1">
      <c r="C675" s="1"/>
      <c r="E675" s="2"/>
      <c r="F675" s="3"/>
      <c r="G675" s="3"/>
      <c r="H675" s="4"/>
      <c r="I675" s="5"/>
      <c r="J675" s="5"/>
    </row>
    <row r="676" spans="3:10" ht="15.75" customHeight="1">
      <c r="C676" s="1"/>
      <c r="E676" s="2"/>
      <c r="F676" s="3"/>
      <c r="G676" s="3"/>
      <c r="H676" s="4"/>
      <c r="I676" s="5"/>
      <c r="J676" s="5"/>
    </row>
    <row r="677" spans="3:10" ht="15.75" customHeight="1">
      <c r="C677" s="1"/>
      <c r="E677" s="2"/>
      <c r="F677" s="3"/>
      <c r="G677" s="3"/>
      <c r="H677" s="4"/>
      <c r="I677" s="5"/>
      <c r="J677" s="5"/>
    </row>
    <row r="678" spans="3:10" ht="15.75" customHeight="1">
      <c r="C678" s="1"/>
      <c r="E678" s="2"/>
      <c r="F678" s="3"/>
      <c r="G678" s="3"/>
      <c r="H678" s="4"/>
      <c r="I678" s="5"/>
      <c r="J678" s="5"/>
    </row>
    <row r="679" spans="3:10" ht="15.75" customHeight="1">
      <c r="C679" s="1"/>
      <c r="E679" s="2"/>
      <c r="F679" s="3"/>
      <c r="G679" s="3"/>
      <c r="H679" s="4"/>
      <c r="I679" s="5"/>
      <c r="J679" s="5"/>
    </row>
    <row r="680" spans="3:10" ht="15.75" customHeight="1">
      <c r="C680" s="1"/>
      <c r="E680" s="2"/>
      <c r="F680" s="3"/>
      <c r="G680" s="3"/>
      <c r="H680" s="4"/>
      <c r="I680" s="5"/>
      <c r="J680" s="5"/>
    </row>
    <row r="681" spans="3:10" ht="15.75" customHeight="1">
      <c r="C681" s="1"/>
      <c r="E681" s="2"/>
      <c r="F681" s="3"/>
      <c r="G681" s="3"/>
      <c r="H681" s="4"/>
      <c r="I681" s="5"/>
      <c r="J681" s="5"/>
    </row>
    <row r="682" spans="3:10" ht="15.75" customHeight="1">
      <c r="C682" s="1"/>
      <c r="E682" s="2"/>
      <c r="F682" s="3"/>
      <c r="G682" s="3"/>
      <c r="H682" s="4"/>
      <c r="I682" s="5"/>
      <c r="J682" s="5"/>
    </row>
    <row r="683" spans="3:10" ht="15.75" customHeight="1">
      <c r="C683" s="1"/>
      <c r="E683" s="2"/>
      <c r="F683" s="3"/>
      <c r="G683" s="3"/>
      <c r="H683" s="4"/>
      <c r="I683" s="5"/>
      <c r="J683" s="5"/>
    </row>
    <row r="684" spans="3:10" ht="15.75" customHeight="1">
      <c r="C684" s="1"/>
      <c r="E684" s="2"/>
      <c r="F684" s="3"/>
      <c r="G684" s="3"/>
      <c r="H684" s="4"/>
      <c r="I684" s="5"/>
      <c r="J684" s="5"/>
    </row>
    <row r="685" spans="3:10" ht="15.75" customHeight="1">
      <c r="C685" s="1"/>
      <c r="E685" s="2"/>
      <c r="F685" s="3"/>
      <c r="G685" s="3"/>
      <c r="H685" s="4"/>
      <c r="I685" s="5"/>
      <c r="J685" s="5"/>
    </row>
    <row r="686" spans="3:10" ht="15.75" customHeight="1">
      <c r="C686" s="1"/>
      <c r="E686" s="2"/>
      <c r="F686" s="3"/>
      <c r="G686" s="3"/>
      <c r="H686" s="4"/>
      <c r="I686" s="5"/>
      <c r="J686" s="5"/>
    </row>
    <row r="687" spans="3:10" ht="15.75" customHeight="1">
      <c r="C687" s="1"/>
      <c r="E687" s="2"/>
      <c r="F687" s="3"/>
      <c r="G687" s="3"/>
      <c r="H687" s="4"/>
      <c r="I687" s="5"/>
      <c r="J687" s="5"/>
    </row>
    <row r="688" spans="3:10" ht="15.75" customHeight="1">
      <c r="C688" s="1"/>
      <c r="E688" s="2"/>
      <c r="F688" s="3"/>
      <c r="G688" s="3"/>
      <c r="H688" s="4"/>
      <c r="I688" s="5"/>
      <c r="J688" s="5"/>
    </row>
    <row r="689" spans="3:10" ht="15.75" customHeight="1">
      <c r="C689" s="1"/>
      <c r="E689" s="2"/>
      <c r="F689" s="3"/>
      <c r="G689" s="3"/>
      <c r="H689" s="4"/>
      <c r="I689" s="5"/>
      <c r="J689" s="5"/>
    </row>
    <row r="690" spans="3:10" ht="15.75" customHeight="1">
      <c r="C690" s="1"/>
      <c r="E690" s="2"/>
      <c r="F690" s="3"/>
      <c r="G690" s="3"/>
      <c r="H690" s="4"/>
      <c r="I690" s="5"/>
      <c r="J690" s="5"/>
    </row>
    <row r="691" spans="3:10" ht="15.75" customHeight="1">
      <c r="C691" s="1"/>
      <c r="E691" s="2"/>
      <c r="F691" s="3"/>
      <c r="G691" s="3"/>
      <c r="H691" s="4"/>
      <c r="I691" s="5"/>
      <c r="J691" s="5"/>
    </row>
    <row r="692" spans="3:10" ht="15.75" customHeight="1">
      <c r="C692" s="1"/>
      <c r="E692" s="2"/>
      <c r="F692" s="3"/>
      <c r="G692" s="3"/>
      <c r="H692" s="4"/>
      <c r="I692" s="5"/>
      <c r="J692" s="5"/>
    </row>
    <row r="693" spans="3:10" ht="15.75" customHeight="1">
      <c r="C693" s="1"/>
      <c r="E693" s="2"/>
      <c r="F693" s="3"/>
      <c r="G693" s="3"/>
      <c r="H693" s="4"/>
      <c r="I693" s="5"/>
      <c r="J693" s="5"/>
    </row>
    <row r="694" spans="3:10" ht="15.75" customHeight="1">
      <c r="C694" s="1"/>
      <c r="E694" s="2"/>
      <c r="F694" s="3"/>
      <c r="G694" s="3"/>
      <c r="H694" s="4"/>
      <c r="I694" s="5"/>
      <c r="J694" s="5"/>
    </row>
    <row r="695" spans="3:10" ht="15.75" customHeight="1">
      <c r="C695" s="1"/>
      <c r="E695" s="2"/>
      <c r="F695" s="3"/>
      <c r="G695" s="3"/>
      <c r="H695" s="4"/>
      <c r="I695" s="5"/>
      <c r="J695" s="5"/>
    </row>
    <row r="696" spans="3:10" ht="15.75" customHeight="1">
      <c r="C696" s="1"/>
      <c r="E696" s="2"/>
      <c r="F696" s="3"/>
      <c r="G696" s="3"/>
      <c r="H696" s="4"/>
      <c r="I696" s="5"/>
      <c r="J696" s="5"/>
    </row>
    <row r="697" spans="3:10" ht="15.75" customHeight="1">
      <c r="C697" s="1"/>
      <c r="E697" s="2"/>
      <c r="F697" s="3"/>
      <c r="G697" s="3"/>
      <c r="H697" s="4"/>
      <c r="I697" s="5"/>
      <c r="J697" s="5"/>
    </row>
    <row r="698" spans="3:10" ht="15.75" customHeight="1">
      <c r="C698" s="1"/>
      <c r="E698" s="2"/>
      <c r="F698" s="3"/>
      <c r="G698" s="3"/>
      <c r="H698" s="4"/>
      <c r="I698" s="5"/>
      <c r="J698" s="5"/>
    </row>
    <row r="699" spans="3:10" ht="15.75" customHeight="1">
      <c r="C699" s="1"/>
      <c r="E699" s="2"/>
      <c r="F699" s="3"/>
      <c r="G699" s="3"/>
      <c r="H699" s="4"/>
      <c r="I699" s="5"/>
      <c r="J699" s="5"/>
    </row>
    <row r="700" spans="3:10" ht="15.75" customHeight="1">
      <c r="C700" s="1"/>
      <c r="E700" s="2"/>
      <c r="F700" s="3"/>
      <c r="G700" s="3"/>
      <c r="H700" s="4"/>
      <c r="I700" s="5"/>
      <c r="J700" s="5"/>
    </row>
    <row r="701" spans="3:10" ht="15.75" customHeight="1">
      <c r="C701" s="1"/>
      <c r="E701" s="2"/>
      <c r="F701" s="3"/>
      <c r="G701" s="3"/>
      <c r="H701" s="4"/>
      <c r="I701" s="5"/>
      <c r="J701" s="5"/>
    </row>
    <row r="702" spans="3:10" ht="15.75" customHeight="1">
      <c r="C702" s="1"/>
      <c r="E702" s="2"/>
      <c r="F702" s="3"/>
      <c r="G702" s="3"/>
      <c r="H702" s="4"/>
      <c r="I702" s="5"/>
      <c r="J702" s="5"/>
    </row>
    <row r="703" spans="3:10" ht="15.75" customHeight="1">
      <c r="C703" s="1"/>
      <c r="E703" s="2"/>
      <c r="F703" s="3"/>
      <c r="G703" s="3"/>
      <c r="H703" s="4"/>
      <c r="I703" s="5"/>
      <c r="J703" s="5"/>
    </row>
    <row r="704" spans="3:10" ht="15.75" customHeight="1">
      <c r="C704" s="1"/>
      <c r="E704" s="2"/>
      <c r="F704" s="3"/>
      <c r="G704" s="3"/>
      <c r="H704" s="4"/>
      <c r="I704" s="5"/>
      <c r="J704" s="5"/>
    </row>
    <row r="705" spans="3:10" ht="15.75" customHeight="1">
      <c r="C705" s="1"/>
      <c r="E705" s="2"/>
      <c r="F705" s="3"/>
      <c r="G705" s="3"/>
      <c r="H705" s="4"/>
      <c r="I705" s="5"/>
      <c r="J705" s="5"/>
    </row>
    <row r="706" spans="3:10" ht="15.75" customHeight="1">
      <c r="C706" s="1"/>
      <c r="E706" s="2"/>
      <c r="F706" s="3"/>
      <c r="G706" s="3"/>
      <c r="H706" s="4"/>
      <c r="I706" s="5"/>
      <c r="J706" s="5"/>
    </row>
    <row r="707" spans="3:10" ht="15.75" customHeight="1">
      <c r="C707" s="1"/>
      <c r="E707" s="2"/>
      <c r="F707" s="3"/>
      <c r="G707" s="3"/>
      <c r="H707" s="4"/>
      <c r="I707" s="5"/>
      <c r="J707" s="5"/>
    </row>
    <row r="708" spans="3:10" ht="15.75" customHeight="1">
      <c r="C708" s="1"/>
      <c r="E708" s="2"/>
      <c r="F708" s="3"/>
      <c r="G708" s="3"/>
      <c r="H708" s="4"/>
      <c r="I708" s="5"/>
      <c r="J708" s="5"/>
    </row>
    <row r="709" spans="3:10" ht="15.75" customHeight="1">
      <c r="C709" s="1"/>
      <c r="E709" s="2"/>
      <c r="F709" s="3"/>
      <c r="G709" s="3"/>
      <c r="H709" s="4"/>
      <c r="I709" s="5"/>
      <c r="J709" s="5"/>
    </row>
    <row r="710" spans="3:10" ht="15.75" customHeight="1">
      <c r="C710" s="1"/>
      <c r="E710" s="2"/>
      <c r="F710" s="3"/>
      <c r="G710" s="3"/>
      <c r="H710" s="4"/>
      <c r="I710" s="5"/>
      <c r="J710" s="5"/>
    </row>
    <row r="711" spans="3:10" ht="15.75" customHeight="1">
      <c r="C711" s="1"/>
      <c r="E711" s="2"/>
      <c r="F711" s="3"/>
      <c r="G711" s="3"/>
      <c r="H711" s="4"/>
      <c r="I711" s="5"/>
      <c r="J711" s="5"/>
    </row>
    <row r="712" spans="3:10" ht="15.75" customHeight="1">
      <c r="C712" s="1"/>
      <c r="E712" s="2"/>
      <c r="F712" s="3"/>
      <c r="G712" s="3"/>
      <c r="H712" s="4"/>
      <c r="I712" s="5"/>
      <c r="J712" s="5"/>
    </row>
    <row r="713" spans="3:10" ht="15.75" customHeight="1">
      <c r="C713" s="1"/>
      <c r="E713" s="2"/>
      <c r="F713" s="3"/>
      <c r="G713" s="3"/>
      <c r="H713" s="4"/>
      <c r="I713" s="5"/>
      <c r="J713" s="5"/>
    </row>
    <row r="714" spans="3:10" ht="15.75" customHeight="1">
      <c r="C714" s="1"/>
      <c r="E714" s="2"/>
      <c r="F714" s="3"/>
      <c r="G714" s="3"/>
      <c r="H714" s="4"/>
      <c r="I714" s="5"/>
      <c r="J714" s="5"/>
    </row>
    <row r="715" spans="3:10" ht="15.75" customHeight="1">
      <c r="C715" s="1"/>
      <c r="E715" s="2"/>
      <c r="F715" s="3"/>
      <c r="G715" s="3"/>
      <c r="H715" s="4"/>
      <c r="I715" s="5"/>
      <c r="J715" s="5"/>
    </row>
    <row r="716" spans="3:10" ht="15.75" customHeight="1">
      <c r="C716" s="1"/>
      <c r="E716" s="2"/>
      <c r="F716" s="3"/>
      <c r="G716" s="3"/>
      <c r="H716" s="4"/>
      <c r="I716" s="5"/>
      <c r="J716" s="5"/>
    </row>
    <row r="717" spans="3:10" ht="15.75" customHeight="1">
      <c r="C717" s="1"/>
      <c r="E717" s="2"/>
      <c r="F717" s="3"/>
      <c r="G717" s="3"/>
      <c r="H717" s="4"/>
      <c r="I717" s="5"/>
      <c r="J717" s="5"/>
    </row>
    <row r="718" spans="3:10" ht="15.75" customHeight="1">
      <c r="C718" s="1"/>
      <c r="E718" s="2"/>
      <c r="F718" s="3"/>
      <c r="G718" s="3"/>
      <c r="H718" s="4"/>
      <c r="I718" s="5"/>
      <c r="J718" s="5"/>
    </row>
    <row r="719" spans="3:10" ht="15.75" customHeight="1">
      <c r="C719" s="1"/>
      <c r="E719" s="2"/>
      <c r="F719" s="3"/>
      <c r="G719" s="3"/>
      <c r="H719" s="4"/>
      <c r="I719" s="5"/>
      <c r="J719" s="5"/>
    </row>
    <row r="720" spans="3:10" ht="15.75" customHeight="1">
      <c r="C720" s="1"/>
      <c r="E720" s="2"/>
      <c r="F720" s="3"/>
      <c r="G720" s="3"/>
      <c r="H720" s="4"/>
      <c r="I720" s="5"/>
      <c r="J720" s="5"/>
    </row>
    <row r="721" spans="3:10" ht="15.75" customHeight="1">
      <c r="C721" s="1"/>
      <c r="E721" s="2"/>
      <c r="F721" s="3"/>
      <c r="G721" s="3"/>
      <c r="H721" s="4"/>
      <c r="I721" s="5"/>
      <c r="J721" s="5"/>
    </row>
    <row r="722" spans="3:10" ht="15.75" customHeight="1">
      <c r="C722" s="1"/>
      <c r="E722" s="2"/>
      <c r="F722" s="3"/>
      <c r="G722" s="3"/>
      <c r="H722" s="4"/>
      <c r="I722" s="5"/>
      <c r="J722" s="5"/>
    </row>
    <row r="723" spans="3:10" ht="15.75" customHeight="1">
      <c r="C723" s="1"/>
      <c r="E723" s="2"/>
      <c r="F723" s="3"/>
      <c r="G723" s="3"/>
      <c r="H723" s="4"/>
      <c r="I723" s="5"/>
      <c r="J723" s="5"/>
    </row>
    <row r="724" spans="3:10" ht="15.75" customHeight="1">
      <c r="C724" s="1"/>
      <c r="E724" s="2"/>
      <c r="F724" s="3"/>
      <c r="G724" s="3"/>
      <c r="H724" s="4"/>
      <c r="I724" s="5"/>
      <c r="J724" s="5"/>
    </row>
    <row r="725" spans="3:10" ht="15.75" customHeight="1">
      <c r="C725" s="1"/>
      <c r="E725" s="2"/>
      <c r="F725" s="3"/>
      <c r="G725" s="3"/>
      <c r="H725" s="4"/>
      <c r="I725" s="5"/>
      <c r="J725" s="5"/>
    </row>
    <row r="726" spans="3:10" ht="15.75" customHeight="1">
      <c r="C726" s="1"/>
      <c r="E726" s="2"/>
      <c r="F726" s="3"/>
      <c r="G726" s="3"/>
      <c r="H726" s="4"/>
      <c r="I726" s="5"/>
      <c r="J726" s="5"/>
    </row>
    <row r="727" spans="3:10" ht="15.75" customHeight="1">
      <c r="C727" s="1"/>
      <c r="E727" s="2"/>
      <c r="F727" s="3"/>
      <c r="G727" s="3"/>
      <c r="H727" s="4"/>
      <c r="I727" s="5"/>
      <c r="J727" s="5"/>
    </row>
    <row r="728" spans="3:10" ht="15.75" customHeight="1">
      <c r="C728" s="1"/>
      <c r="E728" s="2"/>
      <c r="F728" s="3"/>
      <c r="G728" s="3"/>
      <c r="H728" s="4"/>
      <c r="I728" s="5"/>
      <c r="J728" s="5"/>
    </row>
    <row r="729" spans="3:10" ht="15.75" customHeight="1">
      <c r="C729" s="1"/>
      <c r="E729" s="2"/>
      <c r="F729" s="3"/>
      <c r="G729" s="3"/>
      <c r="H729" s="4"/>
      <c r="I729" s="5"/>
      <c r="J729" s="5"/>
    </row>
    <row r="730" spans="3:10" ht="15.75" customHeight="1">
      <c r="C730" s="1"/>
      <c r="E730" s="2"/>
      <c r="F730" s="3"/>
      <c r="G730" s="3"/>
      <c r="H730" s="4"/>
      <c r="I730" s="5"/>
      <c r="J730" s="5"/>
    </row>
    <row r="731" spans="3:10" ht="15.75" customHeight="1">
      <c r="C731" s="1"/>
      <c r="E731" s="2"/>
      <c r="F731" s="3"/>
      <c r="G731" s="3"/>
      <c r="H731" s="4"/>
      <c r="I731" s="5"/>
      <c r="J731" s="5"/>
    </row>
    <row r="732" spans="3:10" ht="15.75" customHeight="1">
      <c r="C732" s="1"/>
      <c r="E732" s="2"/>
      <c r="F732" s="3"/>
      <c r="G732" s="3"/>
      <c r="H732" s="4"/>
      <c r="I732" s="5"/>
      <c r="J732" s="5"/>
    </row>
    <row r="733" spans="3:10" ht="15.75" customHeight="1">
      <c r="C733" s="1"/>
      <c r="E733" s="2"/>
      <c r="F733" s="3"/>
      <c r="G733" s="3"/>
      <c r="H733" s="4"/>
      <c r="I733" s="5"/>
      <c r="J733" s="5"/>
    </row>
    <row r="734" spans="3:10" ht="15.75" customHeight="1">
      <c r="C734" s="1"/>
      <c r="E734" s="2"/>
      <c r="F734" s="3"/>
      <c r="G734" s="3"/>
      <c r="H734" s="4"/>
      <c r="I734" s="5"/>
      <c r="J734" s="5"/>
    </row>
    <row r="735" spans="3:10" ht="15.75" customHeight="1">
      <c r="C735" s="1"/>
      <c r="E735" s="2"/>
      <c r="F735" s="3"/>
      <c r="G735" s="3"/>
      <c r="H735" s="4"/>
      <c r="I735" s="5"/>
      <c r="J735" s="5"/>
    </row>
    <row r="736" spans="3:10" ht="15.75" customHeight="1">
      <c r="C736" s="1"/>
      <c r="E736" s="2"/>
      <c r="F736" s="3"/>
      <c r="G736" s="3"/>
      <c r="H736" s="4"/>
      <c r="I736" s="5"/>
      <c r="J736" s="5"/>
    </row>
    <row r="737" spans="3:10" ht="15.75" customHeight="1">
      <c r="C737" s="1"/>
      <c r="E737" s="2"/>
      <c r="F737" s="3"/>
      <c r="G737" s="3"/>
      <c r="H737" s="4"/>
      <c r="I737" s="5"/>
      <c r="J737" s="5"/>
    </row>
    <row r="738" spans="3:10" ht="15.75" customHeight="1">
      <c r="C738" s="1"/>
      <c r="E738" s="2"/>
      <c r="F738" s="3"/>
      <c r="G738" s="3"/>
      <c r="H738" s="4"/>
      <c r="I738" s="5"/>
      <c r="J738" s="5"/>
    </row>
    <row r="739" spans="3:10" ht="15.75" customHeight="1">
      <c r="C739" s="1"/>
      <c r="E739" s="2"/>
      <c r="F739" s="3"/>
      <c r="G739" s="3"/>
      <c r="H739" s="4"/>
      <c r="I739" s="5"/>
      <c r="J739" s="5"/>
    </row>
    <row r="740" spans="3:10" ht="15.75" customHeight="1">
      <c r="C740" s="1"/>
      <c r="E740" s="2"/>
      <c r="F740" s="3"/>
      <c r="G740" s="3"/>
      <c r="H740" s="4"/>
      <c r="I740" s="5"/>
      <c r="J740" s="5"/>
    </row>
    <row r="741" spans="3:10" ht="15.75" customHeight="1">
      <c r="C741" s="1"/>
      <c r="E741" s="2"/>
      <c r="F741" s="3"/>
      <c r="G741" s="3"/>
      <c r="H741" s="4"/>
      <c r="I741" s="5"/>
      <c r="J741" s="5"/>
    </row>
    <row r="742" spans="3:10" ht="15.75" customHeight="1">
      <c r="C742" s="1"/>
      <c r="E742" s="2"/>
      <c r="F742" s="3"/>
      <c r="G742" s="3"/>
      <c r="H742" s="4"/>
      <c r="I742" s="5"/>
      <c r="J742" s="5"/>
    </row>
    <row r="743" spans="3:10" ht="15.75" customHeight="1">
      <c r="C743" s="1"/>
      <c r="E743" s="2"/>
      <c r="F743" s="3"/>
      <c r="G743" s="3"/>
      <c r="H743" s="4"/>
      <c r="I743" s="5"/>
      <c r="J743" s="5"/>
    </row>
    <row r="744" spans="3:10" ht="15.75" customHeight="1">
      <c r="C744" s="1"/>
      <c r="E744" s="2"/>
      <c r="F744" s="3"/>
      <c r="G744" s="3"/>
      <c r="H744" s="4"/>
      <c r="I744" s="5"/>
      <c r="J744" s="5"/>
    </row>
    <row r="745" spans="3:10" ht="15.75" customHeight="1">
      <c r="C745" s="1"/>
      <c r="E745" s="2"/>
      <c r="F745" s="3"/>
      <c r="G745" s="3"/>
      <c r="H745" s="4"/>
      <c r="I745" s="5"/>
      <c r="J745" s="5"/>
    </row>
    <row r="746" spans="3:10" ht="15.75" customHeight="1">
      <c r="C746" s="1"/>
      <c r="E746" s="2"/>
      <c r="F746" s="3"/>
      <c r="G746" s="3"/>
      <c r="H746" s="4"/>
      <c r="I746" s="5"/>
      <c r="J746" s="5"/>
    </row>
    <row r="747" spans="3:10" ht="15.75" customHeight="1">
      <c r="C747" s="1"/>
      <c r="E747" s="2"/>
      <c r="F747" s="3"/>
      <c r="G747" s="3"/>
      <c r="H747" s="4"/>
      <c r="I747" s="5"/>
      <c r="J747" s="5"/>
    </row>
    <row r="748" spans="3:10" ht="15.75" customHeight="1">
      <c r="C748" s="1"/>
      <c r="E748" s="2"/>
      <c r="F748" s="3"/>
      <c r="G748" s="3"/>
      <c r="H748" s="4"/>
      <c r="I748" s="5"/>
      <c r="J748" s="5"/>
    </row>
    <row r="749" spans="3:10" ht="15.75" customHeight="1">
      <c r="C749" s="1"/>
      <c r="E749" s="2"/>
      <c r="F749" s="3"/>
      <c r="G749" s="3"/>
      <c r="H749" s="4"/>
      <c r="I749" s="5"/>
      <c r="J749" s="5"/>
    </row>
    <row r="750" spans="3:10" ht="15.75" customHeight="1">
      <c r="C750" s="1"/>
      <c r="E750" s="2"/>
      <c r="F750" s="3"/>
      <c r="G750" s="3"/>
      <c r="H750" s="4"/>
      <c r="I750" s="5"/>
      <c r="J750" s="5"/>
    </row>
    <row r="751" spans="3:10" ht="15.75" customHeight="1">
      <c r="C751" s="1"/>
      <c r="E751" s="2"/>
      <c r="F751" s="3"/>
      <c r="G751" s="3"/>
      <c r="H751" s="4"/>
      <c r="I751" s="5"/>
      <c r="J751" s="5"/>
    </row>
    <row r="752" spans="3:10" ht="15.75" customHeight="1">
      <c r="C752" s="1"/>
      <c r="E752" s="2"/>
      <c r="F752" s="3"/>
      <c r="G752" s="3"/>
      <c r="H752" s="4"/>
      <c r="I752" s="5"/>
      <c r="J752" s="5"/>
    </row>
    <row r="753" spans="3:10" ht="15.75" customHeight="1">
      <c r="C753" s="1"/>
      <c r="E753" s="2"/>
      <c r="F753" s="3"/>
      <c r="G753" s="3"/>
      <c r="H753" s="4"/>
      <c r="I753" s="5"/>
      <c r="J753" s="5"/>
    </row>
    <row r="754" spans="3:10" ht="15.75" customHeight="1">
      <c r="C754" s="1"/>
      <c r="E754" s="2"/>
      <c r="F754" s="3"/>
      <c r="G754" s="3"/>
      <c r="H754" s="4"/>
      <c r="I754" s="5"/>
      <c r="J754" s="5"/>
    </row>
    <row r="755" spans="3:10" ht="15.75" customHeight="1">
      <c r="C755" s="1"/>
      <c r="E755" s="2"/>
      <c r="F755" s="3"/>
      <c r="G755" s="3"/>
      <c r="H755" s="4"/>
      <c r="I755" s="5"/>
      <c r="J755" s="5"/>
    </row>
    <row r="756" spans="3:10" ht="15.75" customHeight="1">
      <c r="C756" s="1"/>
      <c r="E756" s="2"/>
      <c r="F756" s="3"/>
      <c r="G756" s="3"/>
      <c r="H756" s="4"/>
      <c r="I756" s="5"/>
      <c r="J756" s="5"/>
    </row>
    <row r="757" spans="3:10" ht="15.75" customHeight="1">
      <c r="C757" s="1"/>
      <c r="E757" s="2"/>
      <c r="F757" s="3"/>
      <c r="G757" s="3"/>
      <c r="H757" s="4"/>
      <c r="I757" s="5"/>
      <c r="J757" s="5"/>
    </row>
    <row r="758" spans="3:10" ht="15.75" customHeight="1">
      <c r="C758" s="1"/>
      <c r="E758" s="2"/>
      <c r="F758" s="3"/>
      <c r="G758" s="3"/>
      <c r="H758" s="4"/>
      <c r="I758" s="5"/>
      <c r="J758" s="5"/>
    </row>
    <row r="759" spans="3:10" ht="15.75" customHeight="1">
      <c r="C759" s="1"/>
      <c r="E759" s="2"/>
      <c r="F759" s="3"/>
      <c r="G759" s="3"/>
      <c r="H759" s="4"/>
      <c r="I759" s="5"/>
      <c r="J759" s="5"/>
    </row>
    <row r="760" spans="3:10" ht="15.75" customHeight="1">
      <c r="C760" s="1"/>
      <c r="E760" s="2"/>
      <c r="F760" s="3"/>
      <c r="G760" s="3"/>
      <c r="H760" s="4"/>
      <c r="I760" s="5"/>
      <c r="J760" s="5"/>
    </row>
    <row r="761" spans="3:10" ht="15.75" customHeight="1">
      <c r="C761" s="1"/>
      <c r="E761" s="2"/>
      <c r="F761" s="3"/>
      <c r="G761" s="3"/>
      <c r="H761" s="4"/>
      <c r="I761" s="5"/>
      <c r="J761" s="5"/>
    </row>
    <row r="762" spans="3:10" ht="15.75" customHeight="1">
      <c r="C762" s="1"/>
      <c r="E762" s="2"/>
      <c r="F762" s="3"/>
      <c r="G762" s="3"/>
      <c r="H762" s="4"/>
      <c r="I762" s="5"/>
      <c r="J762" s="5"/>
    </row>
    <row r="763" spans="3:10" ht="15.75" customHeight="1">
      <c r="C763" s="1"/>
      <c r="E763" s="2"/>
      <c r="F763" s="3"/>
      <c r="G763" s="3"/>
      <c r="H763" s="4"/>
      <c r="I763" s="5"/>
      <c r="J763" s="5"/>
    </row>
    <row r="764" spans="3:10" ht="15.75" customHeight="1">
      <c r="C764" s="1"/>
      <c r="E764" s="2"/>
      <c r="F764" s="3"/>
      <c r="G764" s="3"/>
      <c r="H764" s="4"/>
      <c r="I764" s="5"/>
      <c r="J764" s="5"/>
    </row>
    <row r="765" spans="3:10" ht="15.75" customHeight="1">
      <c r="C765" s="1"/>
      <c r="E765" s="2"/>
      <c r="F765" s="3"/>
      <c r="G765" s="3"/>
      <c r="H765" s="4"/>
      <c r="I765" s="5"/>
      <c r="J765" s="5"/>
    </row>
    <row r="766" spans="3:10" ht="15.75" customHeight="1">
      <c r="C766" s="1"/>
      <c r="E766" s="2"/>
      <c r="F766" s="3"/>
      <c r="G766" s="3"/>
      <c r="H766" s="4"/>
      <c r="I766" s="5"/>
      <c r="J766" s="5"/>
    </row>
    <row r="767" spans="3:10" ht="15.75" customHeight="1">
      <c r="C767" s="1"/>
      <c r="E767" s="2"/>
      <c r="F767" s="3"/>
      <c r="G767" s="3"/>
      <c r="H767" s="4"/>
      <c r="I767" s="5"/>
      <c r="J767" s="5"/>
    </row>
    <row r="768" spans="3:10" ht="15.75" customHeight="1">
      <c r="C768" s="1"/>
      <c r="E768" s="2"/>
      <c r="F768" s="3"/>
      <c r="G768" s="3"/>
      <c r="H768" s="4"/>
      <c r="I768" s="5"/>
      <c r="J768" s="5"/>
    </row>
    <row r="769" spans="3:10" ht="15.75" customHeight="1">
      <c r="C769" s="1"/>
      <c r="E769" s="2"/>
      <c r="F769" s="3"/>
      <c r="G769" s="3"/>
      <c r="H769" s="4"/>
      <c r="I769" s="5"/>
      <c r="J769" s="5"/>
    </row>
    <row r="770" spans="3:10" ht="15.75" customHeight="1">
      <c r="C770" s="1"/>
      <c r="E770" s="2"/>
      <c r="F770" s="3"/>
      <c r="G770" s="3"/>
      <c r="H770" s="4"/>
      <c r="I770" s="5"/>
      <c r="J770" s="5"/>
    </row>
    <row r="771" spans="3:10" ht="15.75" customHeight="1">
      <c r="C771" s="1"/>
      <c r="E771" s="2"/>
      <c r="F771" s="3"/>
      <c r="G771" s="3"/>
      <c r="H771" s="4"/>
      <c r="I771" s="5"/>
      <c r="J771" s="5"/>
    </row>
    <row r="772" spans="3:10" ht="15.75" customHeight="1">
      <c r="C772" s="1"/>
      <c r="E772" s="2"/>
      <c r="F772" s="3"/>
      <c r="G772" s="3"/>
      <c r="H772" s="4"/>
      <c r="I772" s="5"/>
      <c r="J772" s="5"/>
    </row>
    <row r="773" spans="3:10" ht="15.75" customHeight="1">
      <c r="C773" s="1"/>
      <c r="E773" s="2"/>
      <c r="F773" s="3"/>
      <c r="G773" s="3"/>
      <c r="H773" s="4"/>
      <c r="I773" s="5"/>
      <c r="J773" s="5"/>
    </row>
    <row r="774" spans="3:10" ht="15.75" customHeight="1">
      <c r="C774" s="1"/>
      <c r="E774" s="2"/>
      <c r="F774" s="3"/>
      <c r="G774" s="3"/>
      <c r="H774" s="4"/>
      <c r="I774" s="5"/>
      <c r="J774" s="5"/>
    </row>
    <row r="775" spans="3:10" ht="15.75" customHeight="1">
      <c r="C775" s="1"/>
      <c r="E775" s="2"/>
      <c r="F775" s="3"/>
      <c r="G775" s="3"/>
      <c r="H775" s="4"/>
      <c r="I775" s="5"/>
      <c r="J775" s="5"/>
    </row>
    <row r="776" spans="3:10" ht="15.75" customHeight="1">
      <c r="C776" s="1"/>
      <c r="E776" s="2"/>
      <c r="F776" s="3"/>
      <c r="G776" s="3"/>
      <c r="H776" s="4"/>
      <c r="I776" s="5"/>
      <c r="J776" s="5"/>
    </row>
    <row r="777" spans="3:10" ht="15.75" customHeight="1">
      <c r="C777" s="1"/>
      <c r="E777" s="2"/>
      <c r="F777" s="3"/>
      <c r="G777" s="3"/>
      <c r="H777" s="4"/>
      <c r="I777" s="5"/>
      <c r="J777" s="5"/>
    </row>
    <row r="778" spans="3:10" ht="15.75" customHeight="1">
      <c r="C778" s="1"/>
      <c r="E778" s="2"/>
      <c r="F778" s="3"/>
      <c r="G778" s="3"/>
      <c r="H778" s="4"/>
      <c r="I778" s="5"/>
      <c r="J778" s="5"/>
    </row>
    <row r="779" spans="3:10" ht="15.75" customHeight="1">
      <c r="C779" s="1"/>
      <c r="E779" s="2"/>
      <c r="F779" s="3"/>
      <c r="G779" s="3"/>
      <c r="H779" s="4"/>
      <c r="I779" s="5"/>
      <c r="J779" s="5"/>
    </row>
    <row r="780" spans="3:10" ht="15.75" customHeight="1">
      <c r="C780" s="1"/>
      <c r="E780" s="2"/>
      <c r="F780" s="3"/>
      <c r="G780" s="3"/>
      <c r="H780" s="4"/>
      <c r="I780" s="5"/>
      <c r="J780" s="5"/>
    </row>
    <row r="781" spans="3:10" ht="15.75" customHeight="1">
      <c r="C781" s="1"/>
      <c r="E781" s="2"/>
      <c r="F781" s="3"/>
      <c r="G781" s="3"/>
      <c r="H781" s="4"/>
      <c r="I781" s="5"/>
      <c r="J781" s="5"/>
    </row>
    <row r="782" spans="3:10" ht="15.75" customHeight="1">
      <c r="C782" s="1"/>
      <c r="E782" s="2"/>
      <c r="F782" s="3"/>
      <c r="G782" s="3"/>
      <c r="H782" s="4"/>
      <c r="I782" s="5"/>
      <c r="J782" s="5"/>
    </row>
    <row r="783" spans="3:10" ht="15.75" customHeight="1">
      <c r="C783" s="1"/>
      <c r="E783" s="2"/>
      <c r="F783" s="3"/>
      <c r="G783" s="3"/>
      <c r="H783" s="4"/>
      <c r="I783" s="5"/>
      <c r="J783" s="5"/>
    </row>
    <row r="784" spans="3:10" ht="15.75" customHeight="1">
      <c r="C784" s="1"/>
      <c r="E784" s="2"/>
      <c r="F784" s="3"/>
      <c r="G784" s="3"/>
      <c r="H784" s="4"/>
      <c r="I784" s="5"/>
      <c r="J784" s="5"/>
    </row>
    <row r="785" spans="3:10" ht="15.75" customHeight="1">
      <c r="C785" s="1"/>
      <c r="E785" s="2"/>
      <c r="F785" s="3"/>
      <c r="G785" s="3"/>
      <c r="H785" s="4"/>
      <c r="I785" s="5"/>
      <c r="J785" s="5"/>
    </row>
    <row r="786" spans="3:10" ht="15.75" customHeight="1">
      <c r="C786" s="1"/>
      <c r="E786" s="2"/>
      <c r="F786" s="3"/>
      <c r="G786" s="3"/>
      <c r="H786" s="4"/>
      <c r="I786" s="5"/>
      <c r="J786" s="5"/>
    </row>
    <row r="787" spans="3:10" ht="15.75" customHeight="1">
      <c r="C787" s="1"/>
      <c r="E787" s="2"/>
      <c r="F787" s="3"/>
      <c r="G787" s="3"/>
      <c r="H787" s="4"/>
      <c r="I787" s="5"/>
      <c r="J787" s="5"/>
    </row>
    <row r="788" spans="3:10" ht="15.75" customHeight="1">
      <c r="C788" s="1"/>
      <c r="E788" s="2"/>
      <c r="F788" s="3"/>
      <c r="G788" s="3"/>
      <c r="H788" s="4"/>
      <c r="I788" s="5"/>
      <c r="J788" s="5"/>
    </row>
    <row r="789" spans="3:10" ht="15.75" customHeight="1">
      <c r="C789" s="1"/>
      <c r="E789" s="2"/>
      <c r="F789" s="3"/>
      <c r="G789" s="3"/>
      <c r="H789" s="4"/>
      <c r="I789" s="5"/>
      <c r="J789" s="5"/>
    </row>
    <row r="790" spans="3:10" ht="15.75" customHeight="1">
      <c r="C790" s="1"/>
      <c r="E790" s="2"/>
      <c r="F790" s="3"/>
      <c r="G790" s="3"/>
      <c r="H790" s="4"/>
      <c r="I790" s="5"/>
      <c r="J790" s="5"/>
    </row>
    <row r="791" spans="3:10" ht="15.75" customHeight="1">
      <c r="C791" s="1"/>
      <c r="E791" s="2"/>
      <c r="F791" s="3"/>
      <c r="G791" s="3"/>
      <c r="H791" s="4"/>
      <c r="I791" s="5"/>
      <c r="J791" s="5"/>
    </row>
    <row r="792" spans="3:10" ht="15.75" customHeight="1">
      <c r="C792" s="1"/>
      <c r="E792" s="2"/>
      <c r="F792" s="3"/>
      <c r="G792" s="3"/>
      <c r="H792" s="4"/>
      <c r="I792" s="5"/>
      <c r="J792" s="5"/>
    </row>
    <row r="793" spans="3:10" ht="15.75" customHeight="1">
      <c r="C793" s="1"/>
      <c r="E793" s="2"/>
      <c r="F793" s="3"/>
      <c r="G793" s="3"/>
      <c r="H793" s="4"/>
      <c r="I793" s="5"/>
      <c r="J793" s="5"/>
    </row>
    <row r="794" spans="3:10" ht="15.75" customHeight="1">
      <c r="C794" s="1"/>
      <c r="E794" s="2"/>
      <c r="F794" s="3"/>
      <c r="G794" s="3"/>
      <c r="H794" s="4"/>
      <c r="I794" s="5"/>
      <c r="J794" s="5"/>
    </row>
    <row r="795" spans="3:10" ht="15.75" customHeight="1">
      <c r="C795" s="1"/>
      <c r="E795" s="2"/>
      <c r="F795" s="3"/>
      <c r="G795" s="3"/>
      <c r="H795" s="4"/>
      <c r="I795" s="5"/>
      <c r="J795" s="5"/>
    </row>
    <row r="796" spans="3:10" ht="15.75" customHeight="1">
      <c r="C796" s="1"/>
      <c r="E796" s="2"/>
      <c r="F796" s="3"/>
      <c r="G796" s="3"/>
      <c r="H796" s="4"/>
      <c r="I796" s="5"/>
      <c r="J796" s="5"/>
    </row>
    <row r="797" spans="3:10" ht="15.75" customHeight="1">
      <c r="C797" s="1"/>
      <c r="E797" s="2"/>
      <c r="F797" s="3"/>
      <c r="G797" s="3"/>
      <c r="H797" s="4"/>
      <c r="I797" s="5"/>
      <c r="J797" s="5"/>
    </row>
    <row r="798" spans="3:10" ht="15.75" customHeight="1">
      <c r="C798" s="1"/>
      <c r="E798" s="2"/>
      <c r="F798" s="3"/>
      <c r="G798" s="3"/>
      <c r="H798" s="4"/>
      <c r="I798" s="5"/>
      <c r="J798" s="5"/>
    </row>
    <row r="799" spans="3:10" ht="15.75" customHeight="1">
      <c r="C799" s="1"/>
      <c r="E799" s="2"/>
      <c r="F799" s="3"/>
      <c r="G799" s="3"/>
      <c r="H799" s="4"/>
      <c r="I799" s="5"/>
      <c r="J799" s="5"/>
    </row>
    <row r="800" spans="3:10" ht="15.75" customHeight="1">
      <c r="C800" s="1"/>
      <c r="E800" s="2"/>
      <c r="F800" s="3"/>
      <c r="G800" s="3"/>
      <c r="H800" s="4"/>
      <c r="I800" s="5"/>
      <c r="J800" s="5"/>
    </row>
    <row r="801" spans="3:10" ht="15.75" customHeight="1">
      <c r="C801" s="1"/>
      <c r="E801" s="2"/>
      <c r="F801" s="3"/>
      <c r="G801" s="3"/>
      <c r="H801" s="4"/>
      <c r="I801" s="5"/>
      <c r="J801" s="5"/>
    </row>
    <row r="802" spans="3:10" ht="15.75" customHeight="1">
      <c r="C802" s="1"/>
      <c r="E802" s="2"/>
      <c r="F802" s="3"/>
      <c r="G802" s="3"/>
      <c r="H802" s="4"/>
      <c r="I802" s="5"/>
      <c r="J802" s="5"/>
    </row>
    <row r="803" spans="3:10" ht="15.75" customHeight="1">
      <c r="C803" s="1"/>
      <c r="E803" s="2"/>
      <c r="F803" s="3"/>
      <c r="G803" s="3"/>
      <c r="H803" s="4"/>
      <c r="I803" s="5"/>
      <c r="J803" s="5"/>
    </row>
    <row r="804" spans="3:10" ht="15.75" customHeight="1">
      <c r="C804" s="1"/>
      <c r="E804" s="2"/>
      <c r="F804" s="3"/>
      <c r="G804" s="3"/>
      <c r="H804" s="4"/>
      <c r="I804" s="5"/>
      <c r="J804" s="5"/>
    </row>
    <row r="805" spans="3:10" ht="15.75" customHeight="1">
      <c r="C805" s="1"/>
      <c r="E805" s="2"/>
      <c r="F805" s="3"/>
      <c r="G805" s="3"/>
      <c r="H805" s="4"/>
      <c r="I805" s="5"/>
      <c r="J805" s="5"/>
    </row>
    <row r="806" spans="3:10" ht="15.75" customHeight="1">
      <c r="C806" s="1"/>
      <c r="E806" s="2"/>
      <c r="F806" s="3"/>
      <c r="G806" s="3"/>
      <c r="H806" s="4"/>
      <c r="I806" s="5"/>
      <c r="J806" s="5"/>
    </row>
    <row r="807" spans="3:10" ht="15.75" customHeight="1">
      <c r="C807" s="1"/>
      <c r="E807" s="2"/>
      <c r="F807" s="3"/>
      <c r="G807" s="3"/>
      <c r="H807" s="4"/>
      <c r="I807" s="5"/>
      <c r="J807" s="5"/>
    </row>
    <row r="808" spans="3:10" ht="15.75" customHeight="1">
      <c r="C808" s="1"/>
      <c r="E808" s="2"/>
      <c r="F808" s="3"/>
      <c r="G808" s="3"/>
      <c r="H808" s="4"/>
      <c r="I808" s="5"/>
      <c r="J808" s="5"/>
    </row>
    <row r="809" spans="3:10" ht="15.75" customHeight="1">
      <c r="C809" s="1"/>
      <c r="E809" s="2"/>
      <c r="F809" s="3"/>
      <c r="G809" s="3"/>
      <c r="H809" s="4"/>
      <c r="I809" s="5"/>
      <c r="J809" s="5"/>
    </row>
    <row r="810" spans="3:10" ht="15.75" customHeight="1">
      <c r="C810" s="1"/>
      <c r="E810" s="2"/>
      <c r="F810" s="3"/>
      <c r="G810" s="3"/>
      <c r="H810" s="4"/>
      <c r="I810" s="5"/>
      <c r="J810" s="5"/>
    </row>
    <row r="811" spans="3:10" ht="15.75" customHeight="1">
      <c r="C811" s="1"/>
      <c r="E811" s="2"/>
      <c r="F811" s="3"/>
      <c r="G811" s="3"/>
      <c r="H811" s="4"/>
      <c r="I811" s="5"/>
      <c r="J811" s="5"/>
    </row>
    <row r="812" spans="3:10" ht="15.75" customHeight="1">
      <c r="C812" s="1"/>
      <c r="E812" s="2"/>
      <c r="F812" s="3"/>
      <c r="G812" s="3"/>
      <c r="H812" s="4"/>
      <c r="I812" s="5"/>
      <c r="J812" s="5"/>
    </row>
    <row r="813" spans="3:10" ht="15.75" customHeight="1">
      <c r="C813" s="1"/>
      <c r="E813" s="2"/>
      <c r="F813" s="3"/>
      <c r="G813" s="3"/>
      <c r="H813" s="4"/>
      <c r="I813" s="5"/>
      <c r="J813" s="5"/>
    </row>
    <row r="814" spans="3:10" ht="15.75" customHeight="1">
      <c r="C814" s="1"/>
      <c r="E814" s="2"/>
      <c r="F814" s="3"/>
      <c r="G814" s="3"/>
      <c r="H814" s="4"/>
      <c r="I814" s="5"/>
      <c r="J814" s="5"/>
    </row>
    <row r="815" spans="3:10" ht="15.75" customHeight="1">
      <c r="C815" s="1"/>
      <c r="E815" s="2"/>
      <c r="F815" s="3"/>
      <c r="G815" s="3"/>
      <c r="H815" s="4"/>
      <c r="I815" s="5"/>
      <c r="J815" s="5"/>
    </row>
    <row r="816" spans="3:10" ht="15.75" customHeight="1">
      <c r="C816" s="1"/>
      <c r="E816" s="2"/>
      <c r="F816" s="3"/>
      <c r="G816" s="3"/>
      <c r="H816" s="4"/>
      <c r="I816" s="5"/>
      <c r="J816" s="5"/>
    </row>
    <row r="817" spans="3:10" ht="15.75" customHeight="1">
      <c r="C817" s="1"/>
      <c r="E817" s="2"/>
      <c r="F817" s="3"/>
      <c r="G817" s="3"/>
      <c r="H817" s="4"/>
      <c r="I817" s="5"/>
      <c r="J817" s="5"/>
    </row>
    <row r="818" spans="3:10" ht="15.75" customHeight="1">
      <c r="C818" s="1"/>
      <c r="E818" s="2"/>
      <c r="F818" s="3"/>
      <c r="G818" s="3"/>
      <c r="H818" s="4"/>
      <c r="I818" s="5"/>
      <c r="J818" s="5"/>
    </row>
    <row r="819" spans="3:10" ht="15.75" customHeight="1">
      <c r="C819" s="1"/>
      <c r="E819" s="2"/>
      <c r="F819" s="3"/>
      <c r="G819" s="3"/>
      <c r="H819" s="4"/>
      <c r="I819" s="5"/>
      <c r="J819" s="5"/>
    </row>
    <row r="820" spans="3:10" ht="15.75" customHeight="1">
      <c r="C820" s="1"/>
      <c r="E820" s="2"/>
      <c r="F820" s="3"/>
      <c r="G820" s="3"/>
      <c r="H820" s="4"/>
      <c r="I820" s="5"/>
      <c r="J820" s="5"/>
    </row>
    <row r="821" spans="3:10" ht="15.75" customHeight="1">
      <c r="C821" s="1"/>
      <c r="E821" s="2"/>
      <c r="F821" s="3"/>
      <c r="G821" s="3"/>
      <c r="H821" s="4"/>
      <c r="I821" s="5"/>
      <c r="J821" s="5"/>
    </row>
    <row r="822" spans="3:10" ht="15.75" customHeight="1">
      <c r="C822" s="1"/>
      <c r="E822" s="2"/>
      <c r="F822" s="3"/>
      <c r="G822" s="3"/>
      <c r="H822" s="4"/>
      <c r="I822" s="5"/>
      <c r="J822" s="5"/>
    </row>
    <row r="823" spans="3:10" ht="15.75" customHeight="1">
      <c r="C823" s="1"/>
      <c r="E823" s="2"/>
      <c r="F823" s="3"/>
      <c r="G823" s="3"/>
      <c r="H823" s="4"/>
      <c r="I823" s="5"/>
      <c r="J823" s="5"/>
    </row>
    <row r="824" spans="3:10" ht="15.75" customHeight="1">
      <c r="C824" s="1"/>
      <c r="E824" s="2"/>
      <c r="F824" s="3"/>
      <c r="G824" s="3"/>
      <c r="H824" s="4"/>
      <c r="I824" s="5"/>
      <c r="J824" s="5"/>
    </row>
    <row r="825" spans="3:10" ht="15.75" customHeight="1">
      <c r="C825" s="1"/>
      <c r="E825" s="2"/>
      <c r="F825" s="3"/>
      <c r="G825" s="3"/>
      <c r="H825" s="4"/>
      <c r="I825" s="5"/>
      <c r="J825" s="5"/>
    </row>
    <row r="826" spans="3:10" ht="15.75" customHeight="1">
      <c r="C826" s="1"/>
      <c r="E826" s="2"/>
      <c r="F826" s="3"/>
      <c r="G826" s="3"/>
      <c r="H826" s="4"/>
      <c r="I826" s="5"/>
      <c r="J826" s="5"/>
    </row>
    <row r="827" spans="3:10" ht="15.75" customHeight="1">
      <c r="C827" s="1"/>
      <c r="E827" s="2"/>
      <c r="F827" s="3"/>
      <c r="G827" s="3"/>
      <c r="H827" s="4"/>
      <c r="I827" s="5"/>
      <c r="J827" s="5"/>
    </row>
    <row r="828" spans="3:10" ht="15.75" customHeight="1">
      <c r="C828" s="1"/>
      <c r="E828" s="2"/>
      <c r="F828" s="3"/>
      <c r="G828" s="3"/>
      <c r="H828" s="4"/>
      <c r="I828" s="5"/>
      <c r="J828" s="5"/>
    </row>
    <row r="829" spans="3:10" ht="15.75" customHeight="1">
      <c r="C829" s="1"/>
      <c r="E829" s="2"/>
      <c r="F829" s="3"/>
      <c r="G829" s="3"/>
      <c r="H829" s="4"/>
      <c r="I829" s="5"/>
      <c r="J829" s="5"/>
    </row>
    <row r="830" spans="3:10" ht="15.75" customHeight="1">
      <c r="C830" s="1"/>
      <c r="E830" s="2"/>
      <c r="F830" s="3"/>
      <c r="G830" s="3"/>
      <c r="H830" s="4"/>
      <c r="I830" s="5"/>
      <c r="J830" s="5"/>
    </row>
    <row r="831" spans="3:10" ht="15.75" customHeight="1">
      <c r="C831" s="1"/>
      <c r="E831" s="2"/>
      <c r="F831" s="3"/>
      <c r="G831" s="3"/>
      <c r="H831" s="4"/>
      <c r="I831" s="5"/>
      <c r="J831" s="5"/>
    </row>
    <row r="832" spans="3:10" ht="15.75" customHeight="1">
      <c r="C832" s="1"/>
      <c r="E832" s="2"/>
      <c r="F832" s="3"/>
      <c r="G832" s="3"/>
      <c r="H832" s="4"/>
      <c r="I832" s="5"/>
      <c r="J832" s="5"/>
    </row>
    <row r="833" spans="3:10" ht="15.75" customHeight="1">
      <c r="C833" s="1"/>
      <c r="E833" s="2"/>
      <c r="F833" s="3"/>
      <c r="G833" s="3"/>
      <c r="H833" s="4"/>
      <c r="I833" s="5"/>
      <c r="J833" s="5"/>
    </row>
    <row r="834" spans="3:10" ht="15.75" customHeight="1">
      <c r="C834" s="1"/>
      <c r="E834" s="2"/>
      <c r="F834" s="3"/>
      <c r="G834" s="3"/>
      <c r="H834" s="4"/>
      <c r="I834" s="5"/>
      <c r="J834" s="5"/>
    </row>
    <row r="835" spans="3:10" ht="15.75" customHeight="1">
      <c r="C835" s="1"/>
      <c r="E835" s="2"/>
      <c r="F835" s="3"/>
      <c r="G835" s="3"/>
      <c r="H835" s="4"/>
      <c r="I835" s="5"/>
      <c r="J835" s="5"/>
    </row>
    <row r="836" spans="3:10" ht="15.75" customHeight="1">
      <c r="C836" s="1"/>
      <c r="E836" s="2"/>
      <c r="F836" s="3"/>
      <c r="G836" s="3"/>
      <c r="H836" s="4"/>
      <c r="I836" s="5"/>
      <c r="J836" s="5"/>
    </row>
    <row r="837" spans="3:10" ht="15.75" customHeight="1">
      <c r="C837" s="1"/>
      <c r="E837" s="2"/>
      <c r="F837" s="3"/>
      <c r="G837" s="3"/>
      <c r="H837" s="4"/>
      <c r="I837" s="5"/>
      <c r="J837" s="5"/>
    </row>
    <row r="838" spans="3:10" ht="15.75" customHeight="1">
      <c r="C838" s="1"/>
      <c r="E838" s="2"/>
      <c r="F838" s="3"/>
      <c r="G838" s="3"/>
      <c r="H838" s="4"/>
      <c r="I838" s="5"/>
      <c r="J838" s="5"/>
    </row>
    <row r="839" spans="3:10" ht="15.75" customHeight="1">
      <c r="C839" s="1"/>
      <c r="E839" s="2"/>
      <c r="F839" s="3"/>
      <c r="G839" s="3"/>
      <c r="H839" s="4"/>
      <c r="I839" s="5"/>
      <c r="J839" s="5"/>
    </row>
    <row r="840" spans="3:10" ht="15.75" customHeight="1">
      <c r="C840" s="1"/>
      <c r="E840" s="2"/>
      <c r="F840" s="3"/>
      <c r="G840" s="3"/>
      <c r="H840" s="4"/>
      <c r="I840" s="5"/>
      <c r="J840" s="5"/>
    </row>
    <row r="841" spans="3:10" ht="15.75" customHeight="1">
      <c r="C841" s="1"/>
      <c r="E841" s="2"/>
      <c r="F841" s="3"/>
      <c r="G841" s="3"/>
      <c r="H841" s="4"/>
      <c r="I841" s="5"/>
      <c r="J841" s="5"/>
    </row>
    <row r="842" spans="3:10" ht="15.75" customHeight="1">
      <c r="C842" s="1"/>
      <c r="E842" s="2"/>
      <c r="F842" s="3"/>
      <c r="G842" s="3"/>
      <c r="H842" s="4"/>
      <c r="I842" s="5"/>
      <c r="J842" s="5"/>
    </row>
    <row r="843" spans="3:10" ht="15.75" customHeight="1">
      <c r="C843" s="1"/>
      <c r="E843" s="2"/>
      <c r="F843" s="3"/>
      <c r="G843" s="3"/>
      <c r="H843" s="4"/>
      <c r="I843" s="5"/>
      <c r="J843" s="5"/>
    </row>
    <row r="844" spans="3:10" ht="15.75" customHeight="1">
      <c r="C844" s="1"/>
      <c r="E844" s="2"/>
      <c r="F844" s="3"/>
      <c r="G844" s="3"/>
      <c r="H844" s="4"/>
      <c r="I844" s="5"/>
      <c r="J844" s="5"/>
    </row>
    <row r="845" spans="3:10" ht="15.75" customHeight="1">
      <c r="C845" s="1"/>
      <c r="E845" s="2"/>
      <c r="F845" s="3"/>
      <c r="G845" s="3"/>
      <c r="H845" s="4"/>
      <c r="I845" s="5"/>
      <c r="J845" s="5"/>
    </row>
    <row r="846" spans="3:10" ht="15.75" customHeight="1">
      <c r="C846" s="1"/>
      <c r="E846" s="2"/>
      <c r="F846" s="3"/>
      <c r="G846" s="3"/>
      <c r="H846" s="4"/>
      <c r="I846" s="5"/>
      <c r="J846" s="5"/>
    </row>
    <row r="847" spans="3:10" ht="15.75" customHeight="1">
      <c r="C847" s="1"/>
      <c r="E847" s="2"/>
      <c r="F847" s="3"/>
      <c r="G847" s="3"/>
      <c r="H847" s="4"/>
      <c r="I847" s="5"/>
      <c r="J847" s="5"/>
    </row>
    <row r="848" spans="3:10" ht="15.75" customHeight="1">
      <c r="C848" s="1"/>
      <c r="E848" s="2"/>
      <c r="F848" s="3"/>
      <c r="G848" s="3"/>
      <c r="H848" s="4"/>
      <c r="I848" s="5"/>
      <c r="J848" s="5"/>
    </row>
    <row r="849" spans="3:10" ht="15.75" customHeight="1">
      <c r="C849" s="1"/>
      <c r="E849" s="2"/>
      <c r="F849" s="3"/>
      <c r="G849" s="3"/>
      <c r="H849" s="4"/>
      <c r="I849" s="5"/>
      <c r="J849" s="5"/>
    </row>
    <row r="850" spans="3:10" ht="15.75" customHeight="1">
      <c r="C850" s="1"/>
      <c r="E850" s="2"/>
      <c r="F850" s="3"/>
      <c r="G850" s="3"/>
      <c r="H850" s="4"/>
      <c r="I850" s="5"/>
      <c r="J850" s="5"/>
    </row>
    <row r="851" spans="3:10" ht="15.75" customHeight="1">
      <c r="C851" s="1"/>
      <c r="E851" s="2"/>
      <c r="F851" s="3"/>
      <c r="G851" s="3"/>
      <c r="H851" s="4"/>
      <c r="I851" s="5"/>
      <c r="J851" s="5"/>
    </row>
    <row r="852" spans="3:10" ht="15.75" customHeight="1">
      <c r="C852" s="1"/>
      <c r="E852" s="2"/>
      <c r="F852" s="3"/>
      <c r="G852" s="3"/>
      <c r="H852" s="4"/>
      <c r="I852" s="5"/>
      <c r="J852" s="5"/>
    </row>
    <row r="853" spans="3:10" ht="15.75" customHeight="1">
      <c r="C853" s="1"/>
      <c r="E853" s="2"/>
      <c r="F853" s="3"/>
      <c r="G853" s="3"/>
      <c r="H853" s="4"/>
      <c r="I853" s="5"/>
      <c r="J853" s="5"/>
    </row>
    <row r="854" spans="3:10" ht="15.75" customHeight="1">
      <c r="C854" s="1"/>
      <c r="E854" s="2"/>
      <c r="F854" s="3"/>
      <c r="G854" s="3"/>
      <c r="H854" s="4"/>
      <c r="I854" s="5"/>
      <c r="J854" s="5"/>
    </row>
    <row r="855" spans="3:10" ht="15.75" customHeight="1">
      <c r="C855" s="1"/>
      <c r="E855" s="2"/>
      <c r="F855" s="3"/>
      <c r="G855" s="3"/>
      <c r="H855" s="4"/>
      <c r="I855" s="5"/>
      <c r="J855" s="5"/>
    </row>
    <row r="856" spans="3:10" ht="15.75" customHeight="1">
      <c r="C856" s="1"/>
      <c r="E856" s="2"/>
      <c r="F856" s="3"/>
      <c r="G856" s="3"/>
      <c r="H856" s="4"/>
      <c r="I856" s="5"/>
      <c r="J856" s="5"/>
    </row>
    <row r="857" spans="3:10" ht="15.75" customHeight="1">
      <c r="C857" s="1"/>
      <c r="E857" s="2"/>
      <c r="F857" s="3"/>
      <c r="G857" s="3"/>
      <c r="H857" s="4"/>
      <c r="I857" s="5"/>
      <c r="J857" s="5"/>
    </row>
    <row r="858" spans="3:10" ht="15.75" customHeight="1">
      <c r="C858" s="1"/>
      <c r="E858" s="2"/>
      <c r="F858" s="3"/>
      <c r="G858" s="3"/>
      <c r="H858" s="4"/>
      <c r="I858" s="5"/>
      <c r="J858" s="5"/>
    </row>
    <row r="859" spans="3:10" ht="15.75" customHeight="1">
      <c r="C859" s="1"/>
      <c r="E859" s="2"/>
      <c r="F859" s="3"/>
      <c r="G859" s="3"/>
      <c r="H859" s="4"/>
      <c r="I859" s="5"/>
      <c r="J859" s="5"/>
    </row>
    <row r="860" spans="3:10" ht="15.75" customHeight="1">
      <c r="C860" s="1"/>
      <c r="E860" s="2"/>
      <c r="F860" s="3"/>
      <c r="G860" s="3"/>
      <c r="H860" s="4"/>
      <c r="I860" s="5"/>
      <c r="J860" s="5"/>
    </row>
    <row r="861" spans="3:10" ht="15.75" customHeight="1">
      <c r="C861" s="1"/>
      <c r="E861" s="2"/>
      <c r="F861" s="3"/>
      <c r="G861" s="3"/>
      <c r="H861" s="4"/>
      <c r="I861" s="5"/>
      <c r="J861" s="5"/>
    </row>
    <row r="862" spans="3:10" ht="15.75" customHeight="1">
      <c r="C862" s="1"/>
      <c r="E862" s="2"/>
      <c r="F862" s="3"/>
      <c r="G862" s="3"/>
      <c r="H862" s="4"/>
      <c r="I862" s="5"/>
      <c r="J862" s="5"/>
    </row>
    <row r="863" spans="3:10" ht="15.75" customHeight="1">
      <c r="C863" s="1"/>
      <c r="E863" s="2"/>
      <c r="F863" s="3"/>
      <c r="G863" s="3"/>
      <c r="H863" s="4"/>
      <c r="I863" s="5"/>
      <c r="J863" s="5"/>
    </row>
    <row r="864" spans="3:10" ht="15.75" customHeight="1">
      <c r="C864" s="1"/>
      <c r="E864" s="2"/>
      <c r="F864" s="3"/>
      <c r="G864" s="3"/>
      <c r="H864" s="4"/>
      <c r="I864" s="5"/>
      <c r="J864" s="5"/>
    </row>
    <row r="865" spans="3:10" ht="15.75" customHeight="1">
      <c r="C865" s="1"/>
      <c r="E865" s="2"/>
      <c r="F865" s="3"/>
      <c r="G865" s="3"/>
      <c r="H865" s="4"/>
      <c r="I865" s="5"/>
      <c r="J865" s="5"/>
    </row>
    <row r="866" spans="3:10" ht="15.75" customHeight="1">
      <c r="C866" s="1"/>
      <c r="E866" s="2"/>
      <c r="F866" s="3"/>
      <c r="G866" s="3"/>
      <c r="H866" s="4"/>
      <c r="I866" s="5"/>
      <c r="J866" s="5"/>
    </row>
    <row r="867" spans="3:10" ht="15.75" customHeight="1">
      <c r="C867" s="1"/>
      <c r="E867" s="2"/>
      <c r="F867" s="3"/>
      <c r="G867" s="3"/>
      <c r="H867" s="4"/>
      <c r="I867" s="5"/>
      <c r="J867" s="5"/>
    </row>
    <row r="868" spans="3:10" ht="15.75" customHeight="1">
      <c r="C868" s="1"/>
      <c r="E868" s="2"/>
      <c r="F868" s="3"/>
      <c r="G868" s="3"/>
      <c r="H868" s="4"/>
      <c r="I868" s="5"/>
      <c r="J868" s="5"/>
    </row>
    <row r="869" spans="3:10" ht="15.75" customHeight="1">
      <c r="C869" s="1"/>
      <c r="E869" s="2"/>
      <c r="F869" s="3"/>
      <c r="G869" s="3"/>
      <c r="H869" s="4"/>
      <c r="I869" s="5"/>
      <c r="J869" s="5"/>
    </row>
    <row r="870" spans="3:10" ht="15.75" customHeight="1">
      <c r="C870" s="1"/>
      <c r="E870" s="2"/>
      <c r="F870" s="3"/>
      <c r="G870" s="3"/>
      <c r="H870" s="4"/>
      <c r="I870" s="5"/>
      <c r="J870" s="5"/>
    </row>
    <row r="871" spans="3:10" ht="15.75" customHeight="1">
      <c r="C871" s="1"/>
      <c r="E871" s="2"/>
      <c r="F871" s="3"/>
      <c r="G871" s="3"/>
      <c r="H871" s="4"/>
      <c r="I871" s="5"/>
      <c r="J871" s="5"/>
    </row>
    <row r="872" spans="3:10" ht="15.75" customHeight="1">
      <c r="C872" s="1"/>
      <c r="E872" s="2"/>
      <c r="F872" s="3"/>
      <c r="G872" s="3"/>
      <c r="H872" s="4"/>
      <c r="I872" s="5"/>
      <c r="J872" s="5"/>
    </row>
    <row r="873" spans="3:10" ht="15.75" customHeight="1">
      <c r="C873" s="1"/>
      <c r="E873" s="2"/>
      <c r="F873" s="3"/>
      <c r="G873" s="3"/>
      <c r="H873" s="4"/>
      <c r="I873" s="5"/>
      <c r="J873" s="5"/>
    </row>
    <row r="874" spans="3:10" ht="15.75" customHeight="1">
      <c r="C874" s="1"/>
      <c r="E874" s="2"/>
      <c r="F874" s="3"/>
      <c r="G874" s="3"/>
      <c r="H874" s="4"/>
      <c r="I874" s="5"/>
      <c r="J874" s="5"/>
    </row>
    <row r="875" spans="3:10" ht="15.75" customHeight="1">
      <c r="C875" s="1"/>
      <c r="E875" s="2"/>
      <c r="F875" s="3"/>
      <c r="G875" s="3"/>
      <c r="H875" s="4"/>
      <c r="I875" s="5"/>
      <c r="J875" s="5"/>
    </row>
    <row r="876" spans="3:10" ht="15.75" customHeight="1">
      <c r="C876" s="1"/>
      <c r="E876" s="2"/>
      <c r="F876" s="3"/>
      <c r="G876" s="3"/>
      <c r="H876" s="4"/>
      <c r="I876" s="5"/>
      <c r="J876" s="5"/>
    </row>
    <row r="877" spans="3:10" ht="15.75" customHeight="1">
      <c r="C877" s="1"/>
      <c r="E877" s="2"/>
      <c r="F877" s="3"/>
      <c r="G877" s="3"/>
      <c r="H877" s="4"/>
      <c r="I877" s="5"/>
      <c r="J877" s="5"/>
    </row>
    <row r="878" spans="3:10" ht="15.75" customHeight="1">
      <c r="C878" s="1"/>
      <c r="E878" s="2"/>
      <c r="F878" s="3"/>
      <c r="G878" s="3"/>
      <c r="H878" s="4"/>
      <c r="I878" s="5"/>
      <c r="J878" s="5"/>
    </row>
    <row r="879" spans="3:10" ht="15.75" customHeight="1">
      <c r="C879" s="1"/>
      <c r="E879" s="2"/>
      <c r="F879" s="3"/>
      <c r="G879" s="3"/>
      <c r="H879" s="4"/>
      <c r="I879" s="5"/>
      <c r="J879" s="5"/>
    </row>
    <row r="880" spans="3:10" ht="15.75" customHeight="1">
      <c r="C880" s="1"/>
      <c r="E880" s="2"/>
      <c r="F880" s="3"/>
      <c r="G880" s="3"/>
      <c r="H880" s="4"/>
      <c r="I880" s="5"/>
      <c r="J880" s="5"/>
    </row>
    <row r="881" spans="3:10" ht="15.75" customHeight="1">
      <c r="C881" s="1"/>
      <c r="E881" s="2"/>
      <c r="F881" s="3"/>
      <c r="G881" s="3"/>
      <c r="H881" s="4"/>
      <c r="I881" s="5"/>
      <c r="J881" s="5"/>
    </row>
    <row r="882" spans="3:10" ht="15.75" customHeight="1">
      <c r="C882" s="1"/>
      <c r="E882" s="2"/>
      <c r="F882" s="3"/>
      <c r="G882" s="3"/>
      <c r="H882" s="4"/>
      <c r="I882" s="5"/>
      <c r="J882" s="5"/>
    </row>
    <row r="883" spans="3:10" ht="15.75" customHeight="1">
      <c r="C883" s="1"/>
      <c r="E883" s="2"/>
      <c r="F883" s="3"/>
      <c r="G883" s="3"/>
      <c r="H883" s="4"/>
      <c r="I883" s="5"/>
      <c r="J883" s="5"/>
    </row>
    <row r="884" spans="3:10" ht="15.75" customHeight="1">
      <c r="C884" s="1"/>
      <c r="E884" s="2"/>
      <c r="F884" s="3"/>
      <c r="G884" s="3"/>
      <c r="H884" s="4"/>
      <c r="I884" s="5"/>
      <c r="J884" s="5"/>
    </row>
    <row r="885" spans="3:10" ht="15.75" customHeight="1">
      <c r="C885" s="1"/>
      <c r="E885" s="2"/>
      <c r="F885" s="3"/>
      <c r="G885" s="3"/>
      <c r="H885" s="4"/>
      <c r="I885" s="5"/>
      <c r="J885" s="5"/>
    </row>
    <row r="886" spans="3:10" ht="15.75" customHeight="1">
      <c r="C886" s="1"/>
      <c r="E886" s="2"/>
      <c r="F886" s="3"/>
      <c r="G886" s="3"/>
      <c r="H886" s="4"/>
      <c r="I886" s="5"/>
      <c r="J886" s="5"/>
    </row>
    <row r="887" spans="3:10" ht="15.75" customHeight="1">
      <c r="C887" s="1"/>
      <c r="E887" s="2"/>
      <c r="F887" s="3"/>
      <c r="G887" s="3"/>
      <c r="H887" s="4"/>
      <c r="I887" s="5"/>
      <c r="J887" s="5"/>
    </row>
    <row r="888" spans="3:10" ht="15.75" customHeight="1">
      <c r="C888" s="1"/>
      <c r="E888" s="2"/>
      <c r="F888" s="3"/>
      <c r="G888" s="3"/>
      <c r="H888" s="4"/>
      <c r="I888" s="5"/>
      <c r="J888" s="5"/>
    </row>
    <row r="889" spans="3:10" ht="15.75" customHeight="1">
      <c r="C889" s="1"/>
      <c r="E889" s="2"/>
      <c r="F889" s="3"/>
      <c r="G889" s="3"/>
      <c r="H889" s="4"/>
      <c r="I889" s="5"/>
      <c r="J889" s="5"/>
    </row>
    <row r="890" spans="3:10" ht="15.75" customHeight="1">
      <c r="C890" s="1"/>
      <c r="E890" s="2"/>
      <c r="F890" s="3"/>
      <c r="G890" s="3"/>
      <c r="H890" s="4"/>
      <c r="I890" s="5"/>
      <c r="J890" s="5"/>
    </row>
    <row r="891" spans="3:10" ht="15.75" customHeight="1">
      <c r="C891" s="1"/>
      <c r="E891" s="2"/>
      <c r="F891" s="3"/>
      <c r="G891" s="3"/>
      <c r="H891" s="4"/>
      <c r="I891" s="5"/>
      <c r="J891" s="5"/>
    </row>
    <row r="892" spans="3:10" ht="15.75" customHeight="1">
      <c r="C892" s="1"/>
      <c r="E892" s="2"/>
      <c r="F892" s="3"/>
      <c r="G892" s="3"/>
      <c r="H892" s="4"/>
      <c r="I892" s="5"/>
      <c r="J892" s="5"/>
    </row>
    <row r="893" spans="3:10" ht="15.75" customHeight="1">
      <c r="C893" s="1"/>
      <c r="E893" s="2"/>
      <c r="F893" s="3"/>
      <c r="G893" s="3"/>
      <c r="H893" s="4"/>
      <c r="I893" s="5"/>
      <c r="J893" s="5"/>
    </row>
    <row r="894" spans="3:10" ht="15.75" customHeight="1">
      <c r="C894" s="1"/>
      <c r="E894" s="2"/>
      <c r="F894" s="3"/>
      <c r="G894" s="3"/>
      <c r="H894" s="4"/>
      <c r="I894" s="5"/>
      <c r="J894" s="5"/>
    </row>
    <row r="895" spans="3:10" ht="15.75" customHeight="1">
      <c r="C895" s="1"/>
      <c r="E895" s="2"/>
      <c r="F895" s="3"/>
      <c r="G895" s="3"/>
      <c r="H895" s="4"/>
      <c r="I895" s="5"/>
      <c r="J895" s="5"/>
    </row>
    <row r="896" spans="3:10" ht="15.75" customHeight="1">
      <c r="C896" s="1"/>
      <c r="E896" s="2"/>
      <c r="F896" s="3"/>
      <c r="G896" s="3"/>
      <c r="H896" s="4"/>
      <c r="I896" s="5"/>
      <c r="J896" s="5"/>
    </row>
    <row r="897" spans="3:10" ht="15.75" customHeight="1">
      <c r="C897" s="1"/>
      <c r="E897" s="2"/>
      <c r="F897" s="3"/>
      <c r="G897" s="3"/>
      <c r="H897" s="4"/>
      <c r="I897" s="5"/>
      <c r="J897" s="5"/>
    </row>
    <row r="898" spans="3:10" ht="15.75" customHeight="1">
      <c r="C898" s="1"/>
      <c r="E898" s="2"/>
      <c r="F898" s="3"/>
      <c r="G898" s="3"/>
      <c r="H898" s="4"/>
      <c r="I898" s="5"/>
      <c r="J898" s="5"/>
    </row>
    <row r="899" spans="3:10" ht="15.75" customHeight="1">
      <c r="C899" s="1"/>
      <c r="E899" s="2"/>
      <c r="F899" s="3"/>
      <c r="G899" s="3"/>
      <c r="H899" s="4"/>
      <c r="I899" s="5"/>
      <c r="J899" s="5"/>
    </row>
    <row r="900" spans="3:10" ht="15.75" customHeight="1">
      <c r="C900" s="1"/>
      <c r="E900" s="2"/>
      <c r="F900" s="3"/>
      <c r="G900" s="3"/>
      <c r="H900" s="4"/>
      <c r="I900" s="5"/>
      <c r="J900" s="5"/>
    </row>
    <row r="901" spans="3:10" ht="15.75" customHeight="1">
      <c r="C901" s="1"/>
      <c r="E901" s="2"/>
      <c r="F901" s="3"/>
      <c r="G901" s="3"/>
      <c r="H901" s="4"/>
      <c r="I901" s="5"/>
      <c r="J901" s="5"/>
    </row>
    <row r="902" spans="3:10" ht="15.75" customHeight="1">
      <c r="C902" s="1"/>
      <c r="E902" s="2"/>
      <c r="F902" s="3"/>
      <c r="G902" s="3"/>
      <c r="H902" s="4"/>
      <c r="I902" s="5"/>
      <c r="J902" s="5"/>
    </row>
    <row r="903" spans="3:10" ht="15.75" customHeight="1">
      <c r="C903" s="1"/>
      <c r="E903" s="2"/>
      <c r="F903" s="3"/>
      <c r="G903" s="3"/>
      <c r="H903" s="4"/>
      <c r="I903" s="5"/>
      <c r="J903" s="5"/>
    </row>
    <row r="904" spans="3:10" ht="15.75" customHeight="1">
      <c r="C904" s="1"/>
      <c r="E904" s="2"/>
      <c r="F904" s="3"/>
      <c r="G904" s="3"/>
      <c r="H904" s="4"/>
      <c r="I904" s="5"/>
      <c r="J904" s="5"/>
    </row>
    <row r="905" spans="3:10" ht="15.75" customHeight="1">
      <c r="C905" s="1"/>
      <c r="E905" s="2"/>
      <c r="F905" s="3"/>
      <c r="G905" s="3"/>
      <c r="H905" s="4"/>
      <c r="I905" s="5"/>
      <c r="J905" s="5"/>
    </row>
    <row r="906" spans="3:10" ht="15.75" customHeight="1">
      <c r="C906" s="1"/>
      <c r="E906" s="2"/>
      <c r="F906" s="3"/>
      <c r="G906" s="3"/>
      <c r="H906" s="4"/>
      <c r="I906" s="5"/>
      <c r="J906" s="5"/>
    </row>
    <row r="907" spans="3:10" ht="15.75" customHeight="1">
      <c r="C907" s="1"/>
      <c r="E907" s="2"/>
      <c r="F907" s="3"/>
      <c r="G907" s="3"/>
      <c r="H907" s="4"/>
      <c r="I907" s="5"/>
      <c r="J907" s="5"/>
    </row>
    <row r="908" spans="3:10" ht="15.75" customHeight="1">
      <c r="C908" s="1"/>
      <c r="E908" s="2"/>
      <c r="F908" s="3"/>
      <c r="G908" s="3"/>
      <c r="H908" s="4"/>
      <c r="I908" s="5"/>
      <c r="J908" s="5"/>
    </row>
    <row r="909" spans="3:10" ht="15.75" customHeight="1">
      <c r="C909" s="1"/>
      <c r="E909" s="2"/>
      <c r="F909" s="3"/>
      <c r="G909" s="3"/>
      <c r="H909" s="4"/>
      <c r="I909" s="5"/>
      <c r="J909" s="5"/>
    </row>
    <row r="910" spans="3:10" ht="15.75" customHeight="1">
      <c r="C910" s="1"/>
      <c r="E910" s="2"/>
      <c r="F910" s="3"/>
      <c r="G910" s="3"/>
      <c r="H910" s="4"/>
      <c r="I910" s="5"/>
      <c r="J910" s="5"/>
    </row>
    <row r="911" spans="3:10" ht="15.75" customHeight="1">
      <c r="C911" s="1"/>
      <c r="E911" s="2"/>
      <c r="F911" s="3"/>
      <c r="G911" s="3"/>
      <c r="H911" s="4"/>
      <c r="I911" s="5"/>
      <c r="J911" s="5"/>
    </row>
    <row r="912" spans="3:10" ht="15.75" customHeight="1">
      <c r="C912" s="1"/>
      <c r="E912" s="2"/>
      <c r="F912" s="3"/>
      <c r="G912" s="3"/>
      <c r="H912" s="4"/>
      <c r="I912" s="5"/>
      <c r="J912" s="5"/>
    </row>
    <row r="913" spans="3:10" ht="15.75" customHeight="1">
      <c r="C913" s="1"/>
      <c r="E913" s="2"/>
      <c r="F913" s="3"/>
      <c r="G913" s="3"/>
      <c r="H913" s="4"/>
      <c r="I913" s="5"/>
      <c r="J913" s="5"/>
    </row>
    <row r="914" spans="3:10" ht="15.75" customHeight="1">
      <c r="C914" s="1"/>
      <c r="E914" s="2"/>
      <c r="F914" s="3"/>
      <c r="G914" s="3"/>
      <c r="H914" s="4"/>
      <c r="I914" s="5"/>
      <c r="J914" s="5"/>
    </row>
    <row r="915" spans="3:10" ht="15.75" customHeight="1">
      <c r="C915" s="1"/>
      <c r="E915" s="2"/>
      <c r="F915" s="3"/>
      <c r="G915" s="3"/>
      <c r="H915" s="4"/>
      <c r="I915" s="5"/>
      <c r="J915" s="5"/>
    </row>
    <row r="916" spans="3:10" ht="15.75" customHeight="1">
      <c r="C916" s="1"/>
      <c r="E916" s="2"/>
      <c r="F916" s="3"/>
      <c r="G916" s="3"/>
      <c r="H916" s="4"/>
      <c r="I916" s="5"/>
      <c r="J916" s="5"/>
    </row>
    <row r="917" spans="3:10" ht="15.75" customHeight="1">
      <c r="C917" s="1"/>
      <c r="E917" s="2"/>
      <c r="F917" s="3"/>
      <c r="G917" s="3"/>
      <c r="H917" s="4"/>
      <c r="I917" s="5"/>
      <c r="J917" s="5"/>
    </row>
    <row r="918" spans="3:10" ht="15.75" customHeight="1">
      <c r="C918" s="1"/>
      <c r="E918" s="2"/>
      <c r="F918" s="3"/>
      <c r="G918" s="3"/>
      <c r="H918" s="4"/>
      <c r="I918" s="5"/>
      <c r="J918" s="5"/>
    </row>
    <row r="919" spans="3:10" ht="15.75" customHeight="1">
      <c r="C919" s="1"/>
      <c r="E919" s="2"/>
      <c r="F919" s="3"/>
      <c r="G919" s="3"/>
      <c r="H919" s="4"/>
      <c r="I919" s="5"/>
      <c r="J919" s="5"/>
    </row>
    <row r="920" spans="3:10" ht="15.75" customHeight="1">
      <c r="C920" s="1"/>
      <c r="E920" s="2"/>
      <c r="F920" s="3"/>
      <c r="G920" s="3"/>
      <c r="H920" s="4"/>
      <c r="I920" s="5"/>
      <c r="J920" s="5"/>
    </row>
    <row r="921" spans="3:10" ht="15.75" customHeight="1">
      <c r="C921" s="1"/>
      <c r="E921" s="2"/>
      <c r="F921" s="3"/>
      <c r="G921" s="3"/>
      <c r="H921" s="4"/>
      <c r="I921" s="5"/>
      <c r="J921" s="5"/>
    </row>
    <row r="922" spans="3:10" ht="15.75" customHeight="1">
      <c r="C922" s="1"/>
      <c r="E922" s="2"/>
      <c r="F922" s="3"/>
      <c r="G922" s="3"/>
      <c r="H922" s="4"/>
      <c r="I922" s="5"/>
      <c r="J922" s="5"/>
    </row>
    <row r="923" spans="3:10" ht="15.75" customHeight="1">
      <c r="C923" s="1"/>
      <c r="E923" s="2"/>
      <c r="F923" s="3"/>
      <c r="G923" s="3"/>
      <c r="H923" s="4"/>
      <c r="I923" s="5"/>
      <c r="J923" s="5"/>
    </row>
    <row r="924" spans="3:10" ht="15.75" customHeight="1">
      <c r="C924" s="1"/>
      <c r="E924" s="2"/>
      <c r="F924" s="3"/>
      <c r="G924" s="3"/>
      <c r="H924" s="4"/>
      <c r="I924" s="5"/>
      <c r="J924" s="5"/>
    </row>
    <row r="925" spans="3:10" ht="15.75" customHeight="1">
      <c r="C925" s="1"/>
      <c r="E925" s="2"/>
      <c r="F925" s="3"/>
      <c r="G925" s="3"/>
      <c r="H925" s="4"/>
      <c r="I925" s="5"/>
      <c r="J925" s="5"/>
    </row>
    <row r="926" spans="3:10" ht="15.75" customHeight="1">
      <c r="C926" s="1"/>
      <c r="E926" s="2"/>
      <c r="F926" s="3"/>
      <c r="G926" s="3"/>
      <c r="H926" s="4"/>
      <c r="I926" s="5"/>
      <c r="J926" s="5"/>
    </row>
    <row r="927" spans="3:10" ht="15.75" customHeight="1">
      <c r="C927" s="1"/>
      <c r="E927" s="2"/>
      <c r="F927" s="3"/>
      <c r="G927" s="3"/>
      <c r="H927" s="4"/>
      <c r="I927" s="5"/>
      <c r="J927" s="5"/>
    </row>
    <row r="928" spans="3:10" ht="15.75" customHeight="1">
      <c r="C928" s="1"/>
      <c r="E928" s="2"/>
      <c r="F928" s="3"/>
      <c r="G928" s="3"/>
      <c r="H928" s="4"/>
      <c r="I928" s="5"/>
      <c r="J928" s="5"/>
    </row>
    <row r="929" spans="3:10" ht="15.75" customHeight="1">
      <c r="C929" s="1"/>
      <c r="E929" s="2"/>
      <c r="F929" s="3"/>
      <c r="G929" s="3"/>
      <c r="H929" s="4"/>
      <c r="I929" s="5"/>
      <c r="J929" s="5"/>
    </row>
    <row r="930" spans="3:10" ht="15.75" customHeight="1">
      <c r="C930" s="1"/>
      <c r="E930" s="2"/>
      <c r="F930" s="3"/>
      <c r="G930" s="3"/>
      <c r="H930" s="4"/>
      <c r="I930" s="5"/>
      <c r="J930" s="5"/>
    </row>
    <row r="931" spans="3:10" ht="15.75" customHeight="1">
      <c r="C931" s="1"/>
      <c r="E931" s="2"/>
      <c r="F931" s="3"/>
      <c r="G931" s="3"/>
      <c r="H931" s="4"/>
      <c r="I931" s="5"/>
      <c r="J931" s="5"/>
    </row>
    <row r="932" spans="3:10" ht="15.75" customHeight="1">
      <c r="C932" s="1"/>
      <c r="E932" s="2"/>
      <c r="F932" s="3"/>
      <c r="G932" s="3"/>
      <c r="H932" s="4"/>
      <c r="I932" s="5"/>
      <c r="J932" s="5"/>
    </row>
    <row r="933" spans="3:10" ht="15.75" customHeight="1">
      <c r="C933" s="1"/>
      <c r="E933" s="2"/>
      <c r="F933" s="3"/>
      <c r="G933" s="3"/>
      <c r="H933" s="4"/>
      <c r="I933" s="5"/>
      <c r="J933" s="5"/>
    </row>
    <row r="934" spans="3:10" ht="15.75" customHeight="1">
      <c r="C934" s="1"/>
      <c r="E934" s="2"/>
      <c r="F934" s="3"/>
      <c r="G934" s="3"/>
      <c r="H934" s="4"/>
      <c r="I934" s="5"/>
      <c r="J934" s="5"/>
    </row>
    <row r="935" spans="3:10" ht="15.75" customHeight="1">
      <c r="C935" s="1"/>
      <c r="E935" s="2"/>
      <c r="F935" s="3"/>
      <c r="G935" s="3"/>
      <c r="H935" s="4"/>
      <c r="I935" s="5"/>
      <c r="J935" s="5"/>
    </row>
    <row r="936" spans="3:10" ht="15.75" customHeight="1">
      <c r="C936" s="1"/>
      <c r="E936" s="2"/>
      <c r="F936" s="3"/>
      <c r="G936" s="3"/>
      <c r="H936" s="4"/>
      <c r="I936" s="5"/>
      <c r="J936" s="5"/>
    </row>
    <row r="937" spans="3:10" ht="15.75" customHeight="1">
      <c r="C937" s="1"/>
      <c r="E937" s="2"/>
      <c r="F937" s="3"/>
      <c r="G937" s="3"/>
      <c r="H937" s="4"/>
      <c r="I937" s="5"/>
      <c r="J937" s="5"/>
    </row>
    <row r="938" spans="3:10" ht="15.75" customHeight="1">
      <c r="C938" s="1"/>
      <c r="E938" s="2"/>
      <c r="F938" s="3"/>
      <c r="G938" s="3"/>
      <c r="H938" s="4"/>
      <c r="I938" s="5"/>
      <c r="J938" s="5"/>
    </row>
    <row r="939" spans="3:10" ht="15.75" customHeight="1">
      <c r="C939" s="1"/>
      <c r="E939" s="2"/>
      <c r="F939" s="3"/>
      <c r="G939" s="3"/>
      <c r="H939" s="4"/>
      <c r="I939" s="5"/>
      <c r="J939" s="5"/>
    </row>
    <row r="940" spans="3:10" ht="15.75" customHeight="1">
      <c r="C940" s="1"/>
      <c r="E940" s="2"/>
      <c r="F940" s="3"/>
      <c r="G940" s="3"/>
      <c r="H940" s="4"/>
      <c r="I940" s="5"/>
      <c r="J940" s="5"/>
    </row>
    <row r="941" spans="3:10" ht="15.75" customHeight="1">
      <c r="C941" s="1"/>
      <c r="E941" s="2"/>
      <c r="F941" s="3"/>
      <c r="G941" s="3"/>
      <c r="H941" s="4"/>
      <c r="I941" s="5"/>
      <c r="J941" s="5"/>
    </row>
    <row r="942" spans="3:10" ht="15.75" customHeight="1">
      <c r="C942" s="1"/>
      <c r="E942" s="2"/>
      <c r="F942" s="3"/>
      <c r="G942" s="3"/>
      <c r="H942" s="4"/>
      <c r="I942" s="5"/>
      <c r="J942" s="5"/>
    </row>
    <row r="943" spans="3:10" ht="15.75" customHeight="1">
      <c r="C943" s="1"/>
      <c r="E943" s="2"/>
      <c r="F943" s="3"/>
      <c r="G943" s="3"/>
      <c r="H943" s="4"/>
      <c r="I943" s="5"/>
      <c r="J943" s="5"/>
    </row>
    <row r="944" spans="3:10" ht="15.75" customHeight="1">
      <c r="C944" s="1"/>
      <c r="E944" s="2"/>
      <c r="F944" s="3"/>
      <c r="G944" s="3"/>
      <c r="H944" s="4"/>
      <c r="I944" s="5"/>
      <c r="J944" s="5"/>
    </row>
    <row r="945" spans="3:10" ht="15.75" customHeight="1">
      <c r="C945" s="1"/>
      <c r="E945" s="2"/>
      <c r="F945" s="3"/>
      <c r="G945" s="3"/>
      <c r="H945" s="4"/>
      <c r="I945" s="5"/>
      <c r="J945" s="5"/>
    </row>
    <row r="946" spans="3:10" ht="15.75" customHeight="1">
      <c r="C946" s="1"/>
      <c r="E946" s="2"/>
      <c r="F946" s="3"/>
      <c r="G946" s="3"/>
      <c r="H946" s="4"/>
      <c r="I946" s="5"/>
      <c r="J946" s="5"/>
    </row>
    <row r="947" spans="3:10" ht="15.75" customHeight="1">
      <c r="C947" s="1"/>
      <c r="E947" s="2"/>
      <c r="F947" s="3"/>
      <c r="G947" s="3"/>
      <c r="H947" s="4"/>
      <c r="I947" s="5"/>
      <c r="J947" s="5"/>
    </row>
    <row r="948" spans="3:10" ht="15.75" customHeight="1">
      <c r="C948" s="1"/>
      <c r="E948" s="2"/>
      <c r="F948" s="3"/>
      <c r="G948" s="3"/>
      <c r="H948" s="4"/>
      <c r="I948" s="5"/>
      <c r="J948" s="5"/>
    </row>
    <row r="949" spans="3:10" ht="15.75" customHeight="1">
      <c r="C949" s="1"/>
      <c r="E949" s="2"/>
      <c r="F949" s="3"/>
      <c r="G949" s="3"/>
      <c r="H949" s="4"/>
      <c r="I949" s="5"/>
      <c r="J949" s="5"/>
    </row>
    <row r="950" spans="3:10" ht="15.75" customHeight="1">
      <c r="C950" s="1"/>
      <c r="E950" s="2"/>
      <c r="F950" s="3"/>
      <c r="G950" s="3"/>
      <c r="H950" s="4"/>
      <c r="I950" s="5"/>
      <c r="J950" s="5"/>
    </row>
    <row r="951" spans="3:10" ht="15.75" customHeight="1">
      <c r="C951" s="1"/>
      <c r="E951" s="2"/>
      <c r="F951" s="3"/>
      <c r="G951" s="3"/>
      <c r="H951" s="4"/>
      <c r="I951" s="5"/>
      <c r="J951" s="5"/>
    </row>
    <row r="952" spans="3:10" ht="15.75" customHeight="1">
      <c r="C952" s="1"/>
      <c r="E952" s="2"/>
      <c r="F952" s="3"/>
      <c r="G952" s="3"/>
      <c r="H952" s="4"/>
      <c r="I952" s="5"/>
      <c r="J952" s="5"/>
    </row>
    <row r="953" spans="3:10" ht="15.75" customHeight="1">
      <c r="C953" s="1"/>
      <c r="E953" s="2"/>
      <c r="F953" s="3"/>
      <c r="G953" s="3"/>
      <c r="H953" s="4"/>
      <c r="I953" s="5"/>
      <c r="J953" s="5"/>
    </row>
    <row r="954" spans="3:10" ht="15.75" customHeight="1">
      <c r="C954" s="1"/>
      <c r="E954" s="2"/>
      <c r="F954" s="3"/>
      <c r="G954" s="3"/>
      <c r="H954" s="4"/>
      <c r="I954" s="5"/>
      <c r="J954" s="5"/>
    </row>
    <row r="955" spans="3:10" ht="15.75" customHeight="1">
      <c r="C955" s="1"/>
      <c r="E955" s="2"/>
      <c r="F955" s="3"/>
      <c r="G955" s="3"/>
      <c r="H955" s="4"/>
      <c r="I955" s="5"/>
      <c r="J955" s="5"/>
    </row>
    <row r="956" spans="3:10" ht="15.75" customHeight="1">
      <c r="C956" s="1"/>
      <c r="E956" s="2"/>
      <c r="F956" s="3"/>
      <c r="G956" s="3"/>
      <c r="H956" s="4"/>
      <c r="I956" s="5"/>
      <c r="J956" s="5"/>
    </row>
    <row r="957" spans="3:10" ht="15.75" customHeight="1">
      <c r="C957" s="1"/>
      <c r="E957" s="2"/>
      <c r="F957" s="3"/>
      <c r="G957" s="3"/>
      <c r="H957" s="4"/>
      <c r="I957" s="5"/>
      <c r="J957" s="5"/>
    </row>
    <row r="958" spans="3:10" ht="15.75" customHeight="1">
      <c r="C958" s="1"/>
      <c r="E958" s="2"/>
      <c r="F958" s="3"/>
      <c r="G958" s="3"/>
      <c r="H958" s="4"/>
      <c r="I958" s="5"/>
      <c r="J958" s="5"/>
    </row>
    <row r="959" spans="3:10" ht="15.75" customHeight="1">
      <c r="C959" s="1"/>
      <c r="E959" s="2"/>
      <c r="F959" s="3"/>
      <c r="G959" s="3"/>
      <c r="H959" s="4"/>
      <c r="I959" s="5"/>
      <c r="J959" s="5"/>
    </row>
    <row r="960" spans="3:10" ht="15.75" customHeight="1">
      <c r="C960" s="1"/>
      <c r="E960" s="2"/>
      <c r="F960" s="3"/>
      <c r="G960" s="3"/>
      <c r="H960" s="4"/>
      <c r="I960" s="5"/>
      <c r="J960" s="5"/>
    </row>
    <row r="961" spans="3:10" ht="15.75" customHeight="1">
      <c r="C961" s="1"/>
      <c r="E961" s="2"/>
      <c r="F961" s="3"/>
      <c r="G961" s="3"/>
      <c r="H961" s="4"/>
      <c r="I961" s="5"/>
      <c r="J961" s="5"/>
    </row>
    <row r="962" spans="3:10" ht="15.75" customHeight="1">
      <c r="C962" s="1"/>
      <c r="E962" s="2"/>
      <c r="F962" s="3"/>
      <c r="G962" s="3"/>
      <c r="H962" s="4"/>
      <c r="I962" s="5"/>
      <c r="J962" s="5"/>
    </row>
    <row r="963" spans="3:10" ht="15.75" customHeight="1">
      <c r="C963" s="1"/>
      <c r="E963" s="2"/>
      <c r="F963" s="3"/>
      <c r="G963" s="3"/>
      <c r="H963" s="4"/>
      <c r="I963" s="5"/>
      <c r="J963" s="5"/>
    </row>
    <row r="964" spans="3:10" ht="15.75" customHeight="1">
      <c r="C964" s="1"/>
      <c r="E964" s="2"/>
      <c r="F964" s="3"/>
      <c r="G964" s="3"/>
      <c r="H964" s="4"/>
      <c r="I964" s="5"/>
      <c r="J964" s="5"/>
    </row>
    <row r="965" spans="3:10" ht="15.75" customHeight="1">
      <c r="C965" s="1"/>
      <c r="E965" s="2"/>
      <c r="F965" s="3"/>
      <c r="G965" s="3"/>
      <c r="H965" s="4"/>
      <c r="I965" s="5"/>
      <c r="J965" s="5"/>
    </row>
    <row r="966" spans="3:10" ht="15.75" customHeight="1">
      <c r="C966" s="1"/>
      <c r="E966" s="2"/>
      <c r="F966" s="3"/>
      <c r="G966" s="3"/>
      <c r="H966" s="4"/>
      <c r="I966" s="5"/>
      <c r="J966" s="5"/>
    </row>
    <row r="967" spans="3:10" ht="15.75" customHeight="1">
      <c r="C967" s="1"/>
      <c r="E967" s="2"/>
      <c r="F967" s="3"/>
      <c r="G967" s="3"/>
      <c r="H967" s="4"/>
      <c r="I967" s="5"/>
      <c r="J967" s="5"/>
    </row>
    <row r="968" spans="3:10" ht="15.75" customHeight="1">
      <c r="C968" s="1"/>
      <c r="E968" s="2"/>
      <c r="F968" s="3"/>
      <c r="G968" s="3"/>
      <c r="H968" s="4"/>
      <c r="I968" s="5"/>
      <c r="J968" s="5"/>
    </row>
    <row r="969" spans="3:10" ht="15.75" customHeight="1">
      <c r="C969" s="1"/>
      <c r="E969" s="2"/>
      <c r="F969" s="3"/>
      <c r="G969" s="3"/>
      <c r="H969" s="4"/>
      <c r="I969" s="5"/>
      <c r="J969" s="5"/>
    </row>
    <row r="970" spans="3:10" ht="15.75" customHeight="1">
      <c r="C970" s="1"/>
      <c r="E970" s="2"/>
      <c r="F970" s="3"/>
      <c r="G970" s="3"/>
      <c r="H970" s="4"/>
      <c r="I970" s="5"/>
      <c r="J970" s="5"/>
    </row>
    <row r="971" spans="3:10" ht="15.75" customHeight="1">
      <c r="C971" s="1"/>
      <c r="E971" s="2"/>
      <c r="F971" s="3"/>
      <c r="G971" s="3"/>
      <c r="H971" s="4"/>
      <c r="I971" s="5"/>
      <c r="J971" s="5"/>
    </row>
    <row r="972" spans="3:10" ht="15.75" customHeight="1">
      <c r="C972" s="1"/>
      <c r="E972" s="2"/>
      <c r="F972" s="3"/>
      <c r="G972" s="3"/>
      <c r="H972" s="4"/>
      <c r="I972" s="5"/>
      <c r="J972" s="5"/>
    </row>
    <row r="973" spans="3:10" ht="15.75" customHeight="1">
      <c r="C973" s="1"/>
      <c r="E973" s="2"/>
      <c r="F973" s="3"/>
      <c r="G973" s="3"/>
      <c r="H973" s="4"/>
      <c r="I973" s="5"/>
      <c r="J973" s="5"/>
    </row>
    <row r="974" spans="3:10" ht="15.75" customHeight="1">
      <c r="C974" s="1"/>
      <c r="E974" s="2"/>
      <c r="F974" s="3"/>
      <c r="G974" s="3"/>
      <c r="H974" s="4"/>
      <c r="I974" s="5"/>
      <c r="J974" s="5"/>
    </row>
    <row r="975" spans="3:10" ht="15.75" customHeight="1">
      <c r="C975" s="1"/>
      <c r="E975" s="2"/>
      <c r="F975" s="3"/>
      <c r="G975" s="3"/>
      <c r="H975" s="4"/>
      <c r="I975" s="5"/>
      <c r="J975" s="5"/>
    </row>
    <row r="976" spans="3:10" ht="15.75" customHeight="1">
      <c r="C976" s="1"/>
      <c r="E976" s="2"/>
      <c r="F976" s="3"/>
      <c r="G976" s="3"/>
      <c r="H976" s="4"/>
      <c r="I976" s="5"/>
      <c r="J976" s="5"/>
    </row>
    <row r="977" spans="3:10" ht="15.75" customHeight="1">
      <c r="C977" s="1"/>
      <c r="E977" s="2"/>
      <c r="F977" s="3"/>
      <c r="G977" s="3"/>
      <c r="H977" s="4"/>
      <c r="I977" s="5"/>
      <c r="J977" s="5"/>
    </row>
    <row r="978" spans="3:10" ht="15.75" customHeight="1">
      <c r="C978" s="1"/>
      <c r="E978" s="2"/>
      <c r="F978" s="3"/>
      <c r="G978" s="3"/>
      <c r="H978" s="4"/>
      <c r="I978" s="5"/>
      <c r="J978" s="5"/>
    </row>
    <row r="979" spans="3:10" ht="15.75" customHeight="1">
      <c r="C979" s="1"/>
      <c r="E979" s="2"/>
      <c r="F979" s="3"/>
      <c r="G979" s="3"/>
      <c r="H979" s="4"/>
      <c r="I979" s="5"/>
      <c r="J979" s="5"/>
    </row>
    <row r="980" spans="3:10" ht="15.75" customHeight="1">
      <c r="C980" s="1"/>
      <c r="E980" s="2"/>
      <c r="F980" s="3"/>
      <c r="G980" s="3"/>
      <c r="H980" s="4"/>
      <c r="I980" s="5"/>
      <c r="J980" s="5"/>
    </row>
    <row r="981" spans="3:10" ht="15.75" customHeight="1">
      <c r="C981" s="1"/>
      <c r="E981" s="2"/>
      <c r="F981" s="3"/>
      <c r="G981" s="3"/>
      <c r="H981" s="4"/>
      <c r="I981" s="5"/>
      <c r="J981" s="5"/>
    </row>
    <row r="982" spans="3:10" ht="15.75" customHeight="1">
      <c r="C982" s="1"/>
      <c r="E982" s="2"/>
      <c r="F982" s="3"/>
      <c r="G982" s="3"/>
      <c r="H982" s="4"/>
      <c r="I982" s="5"/>
      <c r="J982" s="5"/>
    </row>
    <row r="983" spans="3:10" ht="15.75" customHeight="1">
      <c r="C983" s="1"/>
      <c r="E983" s="2"/>
      <c r="F983" s="3"/>
      <c r="G983" s="3"/>
      <c r="H983" s="4"/>
      <c r="I983" s="5"/>
      <c r="J983" s="5"/>
    </row>
    <row r="984" spans="3:10" ht="15.75" customHeight="1">
      <c r="C984" s="1"/>
      <c r="E984" s="2"/>
      <c r="F984" s="3"/>
      <c r="G984" s="3"/>
      <c r="H984" s="4"/>
      <c r="I984" s="5"/>
      <c r="J984" s="5"/>
    </row>
    <row r="985" spans="3:10" ht="15.75" customHeight="1">
      <c r="C985" s="1"/>
      <c r="E985" s="2"/>
      <c r="F985" s="3"/>
      <c r="G985" s="3"/>
      <c r="H985" s="4"/>
      <c r="I985" s="5"/>
      <c r="J985" s="5"/>
    </row>
    <row r="986" spans="3:10" ht="15.75" customHeight="1">
      <c r="C986" s="1"/>
      <c r="E986" s="2"/>
      <c r="F986" s="3"/>
      <c r="G986" s="3"/>
      <c r="H986" s="4"/>
      <c r="I986" s="5"/>
      <c r="J986" s="5"/>
    </row>
    <row r="987" spans="3:10" ht="15.75" customHeight="1">
      <c r="C987" s="1"/>
      <c r="E987" s="2"/>
      <c r="F987" s="3"/>
      <c r="G987" s="3"/>
      <c r="H987" s="4"/>
      <c r="I987" s="5"/>
      <c r="J987" s="5"/>
    </row>
    <row r="988" spans="3:10" ht="15.75" customHeight="1">
      <c r="C988" s="1"/>
      <c r="E988" s="2"/>
      <c r="F988" s="3"/>
      <c r="G988" s="3"/>
      <c r="H988" s="4"/>
      <c r="I988" s="5"/>
      <c r="J988" s="5"/>
    </row>
    <row r="989" spans="3:10" ht="15.75" customHeight="1">
      <c r="C989" s="1"/>
      <c r="E989" s="2"/>
      <c r="F989" s="3"/>
      <c r="G989" s="3"/>
      <c r="H989" s="4"/>
      <c r="I989" s="5"/>
      <c r="J989" s="5"/>
    </row>
    <row r="990" spans="3:10" ht="15.75" customHeight="1">
      <c r="C990" s="1"/>
      <c r="E990" s="2"/>
      <c r="F990" s="3"/>
      <c r="G990" s="3"/>
      <c r="H990" s="4"/>
      <c r="I990" s="5"/>
      <c r="J990" s="5"/>
    </row>
    <row r="991" spans="3:10" ht="15.75" customHeight="1">
      <c r="C991" s="1"/>
      <c r="E991" s="2"/>
      <c r="F991" s="3"/>
      <c r="G991" s="3"/>
      <c r="H991" s="4"/>
      <c r="I991" s="5"/>
      <c r="J991" s="5"/>
    </row>
    <row r="992" spans="3:10" ht="15.75" customHeight="1">
      <c r="C992" s="1"/>
      <c r="E992" s="2"/>
      <c r="F992" s="3"/>
      <c r="G992" s="3"/>
      <c r="H992" s="4"/>
      <c r="I992" s="5"/>
      <c r="J992" s="5"/>
    </row>
    <row r="993" spans="3:10" ht="15.75" customHeight="1">
      <c r="C993" s="1"/>
      <c r="E993" s="2"/>
      <c r="F993" s="3"/>
      <c r="G993" s="3"/>
      <c r="H993" s="4"/>
      <c r="I993" s="5"/>
      <c r="J993" s="5"/>
    </row>
    <row r="994" spans="3:10" ht="15.75" customHeight="1">
      <c r="C994" s="1"/>
      <c r="E994" s="2"/>
      <c r="F994" s="3"/>
      <c r="G994" s="3"/>
      <c r="H994" s="4"/>
      <c r="I994" s="5"/>
      <c r="J994" s="5"/>
    </row>
    <row r="995" spans="3:10" ht="15.75" customHeight="1">
      <c r="C995" s="1"/>
      <c r="E995" s="2"/>
      <c r="F995" s="3"/>
      <c r="G995" s="3"/>
      <c r="H995" s="4"/>
      <c r="I995" s="5"/>
      <c r="J995" s="5"/>
    </row>
    <row r="996" spans="3:10" ht="15.75" customHeight="1">
      <c r="C996" s="1"/>
      <c r="E996" s="2"/>
      <c r="F996" s="3"/>
      <c r="G996" s="3"/>
      <c r="H996" s="4"/>
      <c r="I996" s="5"/>
      <c r="J996" s="5"/>
    </row>
    <row r="997" spans="3:10" ht="15.75" customHeight="1">
      <c r="C997" s="1"/>
      <c r="E997" s="2"/>
      <c r="F997" s="3"/>
      <c r="G997" s="3"/>
      <c r="H997" s="4"/>
      <c r="I997" s="5"/>
      <c r="J997" s="5"/>
    </row>
    <row r="998" spans="3:10" ht="15.75" customHeight="1">
      <c r="C998" s="1"/>
      <c r="E998" s="2"/>
      <c r="F998" s="3"/>
      <c r="G998" s="3"/>
      <c r="H998" s="4"/>
      <c r="I998" s="5"/>
      <c r="J998" s="5"/>
    </row>
    <row r="999" spans="3:10" ht="15.75" customHeight="1">
      <c r="C999" s="1"/>
      <c r="E999" s="2"/>
      <c r="F999" s="3"/>
      <c r="G999" s="3"/>
      <c r="H999" s="4"/>
      <c r="I999" s="5"/>
      <c r="J999" s="5"/>
    </row>
    <row r="1000" spans="3:10" ht="15.75" customHeight="1">
      <c r="C1000" s="1"/>
      <c r="E1000" s="2"/>
      <c r="F1000" s="3"/>
      <c r="G1000" s="3"/>
      <c r="H1000" s="4"/>
      <c r="I1000" s="5"/>
      <c r="J1000" s="5"/>
    </row>
  </sheetData>
  <sheetProtection password="CC27" sheet="1" objects="1" scenarios="1"/>
  <mergeCells count="5">
    <mergeCell ref="A2:J2"/>
    <mergeCell ref="D4:F4"/>
    <mergeCell ref="H4:I4"/>
    <mergeCell ref="D20:E20"/>
    <mergeCell ref="D22:E22"/>
  </mergeCells>
  <pageMargins left="0.511811024" right="0.511811024" top="0.78740157499999996" bottom="0.7874015749999999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topLeftCell="A13" workbookViewId="0">
      <selection activeCell="E29" sqref="E29"/>
    </sheetView>
  </sheetViews>
  <sheetFormatPr defaultColWidth="14.42578125" defaultRowHeight="15" customHeight="1"/>
  <cols>
    <col min="1" max="1" width="2.7109375" customWidth="1"/>
    <col min="2" max="2" width="7.42578125" customWidth="1"/>
    <col min="3" max="3" width="22.7109375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38.85546875" customWidth="1"/>
    <col min="9" max="9" width="25.5703125" customWidth="1"/>
    <col min="10" max="11" width="9.140625" customWidth="1"/>
    <col min="12" max="12" width="9.7109375" customWidth="1"/>
    <col min="13" max="15" width="14.140625" customWidth="1"/>
    <col min="16" max="16" width="13.5703125" customWidth="1"/>
    <col min="17" max="17" width="16.28515625" customWidth="1"/>
    <col min="18" max="18" width="14.85546875" customWidth="1"/>
    <col min="19" max="19" width="18" customWidth="1"/>
    <col min="20" max="37" width="8.7109375" customWidth="1"/>
  </cols>
  <sheetData>
    <row r="1" spans="1:37" ht="24.75" customHeight="1">
      <c r="C1" s="1"/>
      <c r="I1" s="2"/>
      <c r="J1" s="63"/>
      <c r="K1" s="63"/>
      <c r="L1" s="63"/>
      <c r="M1" s="3"/>
      <c r="N1" s="3"/>
      <c r="O1" s="3"/>
      <c r="Q1" s="4"/>
      <c r="R1" s="5"/>
      <c r="S1" s="5"/>
    </row>
    <row r="2" spans="1:37" ht="24.75" customHeight="1">
      <c r="A2" s="64"/>
      <c r="B2" s="312" t="s">
        <v>632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>
      <c r="A3" s="64"/>
      <c r="B3" s="6"/>
      <c r="C3" s="6"/>
      <c r="D3" s="6"/>
      <c r="E3" s="6"/>
      <c r="F3" s="6"/>
      <c r="G3" s="6"/>
      <c r="H3" s="6"/>
      <c r="I3" s="6"/>
      <c r="J3" s="6"/>
      <c r="K3" s="6"/>
      <c r="L3" s="226"/>
      <c r="M3" s="321" t="s">
        <v>1</v>
      </c>
      <c r="N3" s="308"/>
      <c r="O3" s="309"/>
      <c r="P3" s="235" t="s">
        <v>34</v>
      </c>
      <c r="Q3" s="322" t="s">
        <v>35</v>
      </c>
      <c r="R3" s="308"/>
      <c r="S3" s="30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>
      <c r="B4" s="236" t="s">
        <v>36</v>
      </c>
      <c r="C4" s="237" t="s">
        <v>37</v>
      </c>
      <c r="D4" s="238" t="s">
        <v>38</v>
      </c>
      <c r="E4" s="236" t="s">
        <v>39</v>
      </c>
      <c r="F4" s="236" t="s">
        <v>40</v>
      </c>
      <c r="G4" s="239" t="s">
        <v>41</v>
      </c>
      <c r="H4" s="236" t="s">
        <v>42</v>
      </c>
      <c r="I4" s="236" t="s">
        <v>43</v>
      </c>
      <c r="J4" s="323" t="s">
        <v>44</v>
      </c>
      <c r="K4" s="308"/>
      <c r="L4" s="309"/>
      <c r="M4" s="240" t="s">
        <v>5</v>
      </c>
      <c r="N4" s="241" t="s">
        <v>6</v>
      </c>
      <c r="O4" s="242" t="s">
        <v>7</v>
      </c>
      <c r="P4" s="243" t="s">
        <v>5</v>
      </c>
      <c r="Q4" s="244" t="s">
        <v>9</v>
      </c>
      <c r="R4" s="245" t="s">
        <v>10</v>
      </c>
      <c r="S4" s="246" t="s">
        <v>46</v>
      </c>
    </row>
    <row r="5" spans="1:37" ht="24.75" customHeight="1">
      <c r="A5" s="21"/>
      <c r="B5" s="247">
        <v>1</v>
      </c>
      <c r="C5" s="248" t="s">
        <v>633</v>
      </c>
      <c r="D5" s="249" t="s">
        <v>209</v>
      </c>
      <c r="E5" s="250" t="s">
        <v>912</v>
      </c>
      <c r="F5" s="153" t="s">
        <v>210</v>
      </c>
      <c r="G5" s="251" t="s">
        <v>634</v>
      </c>
      <c r="H5" s="251" t="str">
        <f t="shared" ref="H5:H29" si="0">UPPER(G5)</f>
        <v>MINISTRAR TREINAMENTO AGHUSE - MÓDULO COMPRAS</v>
      </c>
      <c r="I5" s="249" t="s">
        <v>93</v>
      </c>
      <c r="J5" s="252">
        <v>43709</v>
      </c>
      <c r="K5" s="253">
        <v>9</v>
      </c>
      <c r="L5" s="253">
        <v>11</v>
      </c>
      <c r="M5" s="296">
        <v>160.63</v>
      </c>
      <c r="N5" s="296">
        <v>181.26</v>
      </c>
      <c r="O5" s="296"/>
      <c r="P5" s="297"/>
      <c r="Q5" s="298">
        <f>1109.08+697.98</f>
        <v>1807.06</v>
      </c>
      <c r="R5" s="299">
        <f>470.4+135</f>
        <v>605.4</v>
      </c>
      <c r="S5" s="300">
        <f t="shared" ref="S5:S29" si="1">M5+N5+O5+P5+Q5+R5</f>
        <v>2754.35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24" customHeight="1">
      <c r="A6" s="21"/>
      <c r="B6" s="247">
        <v>2</v>
      </c>
      <c r="C6" s="87" t="s">
        <v>635</v>
      </c>
      <c r="D6" s="95" t="s">
        <v>268</v>
      </c>
      <c r="E6" s="155" t="s">
        <v>925</v>
      </c>
      <c r="F6" s="102" t="s">
        <v>636</v>
      </c>
      <c r="G6" s="93" t="s">
        <v>637</v>
      </c>
      <c r="H6" s="93" t="str">
        <f t="shared" si="0"/>
        <v>MINISTRAR TREINAMENTO AGHUSE - MÓDULO ESTOQUE</v>
      </c>
      <c r="I6" s="95" t="s">
        <v>93</v>
      </c>
      <c r="J6" s="179">
        <v>43709</v>
      </c>
      <c r="K6" s="180">
        <v>10</v>
      </c>
      <c r="L6" s="180">
        <v>13</v>
      </c>
      <c r="M6" s="279">
        <v>268.67</v>
      </c>
      <c r="N6" s="279">
        <v>286.58999999999997</v>
      </c>
      <c r="O6" s="279"/>
      <c r="P6" s="280"/>
      <c r="Q6" s="281">
        <v>2085.96</v>
      </c>
      <c r="R6" s="282">
        <f>705.6+78</f>
        <v>783.6</v>
      </c>
      <c r="S6" s="283">
        <f t="shared" si="1"/>
        <v>3424.82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ht="24" customHeight="1">
      <c r="A7" s="21"/>
      <c r="B7" s="86">
        <v>3</v>
      </c>
      <c r="C7" s="87" t="s">
        <v>638</v>
      </c>
      <c r="D7" s="95" t="s">
        <v>485</v>
      </c>
      <c r="E7" s="155" t="s">
        <v>916</v>
      </c>
      <c r="F7" s="102" t="s">
        <v>225</v>
      </c>
      <c r="G7" s="93" t="s">
        <v>639</v>
      </c>
      <c r="H7" s="93" t="str">
        <f t="shared" si="0"/>
        <v>MINISTRAR TREINAMENTO AGHUSE - MÓDULO FARMÁCIA</v>
      </c>
      <c r="I7" s="95" t="s">
        <v>93</v>
      </c>
      <c r="J7" s="179">
        <v>43709</v>
      </c>
      <c r="K7" s="180">
        <v>16</v>
      </c>
      <c r="L7" s="180">
        <v>19</v>
      </c>
      <c r="M7" s="279">
        <v>217.62</v>
      </c>
      <c r="N7" s="279">
        <v>93.2</v>
      </c>
      <c r="O7" s="279"/>
      <c r="P7" s="280"/>
      <c r="Q7" s="281">
        <v>2401.96</v>
      </c>
      <c r="R7" s="282">
        <f>705.6+385</f>
        <v>1090.5999999999999</v>
      </c>
      <c r="S7" s="283">
        <f t="shared" si="1"/>
        <v>3803.38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24.75" customHeight="1">
      <c r="A8" s="21"/>
      <c r="B8" s="247">
        <v>4</v>
      </c>
      <c r="C8" s="87" t="s">
        <v>640</v>
      </c>
      <c r="D8" s="93" t="s">
        <v>104</v>
      </c>
      <c r="E8" s="155" t="s">
        <v>998</v>
      </c>
      <c r="F8" s="102" t="s">
        <v>641</v>
      </c>
      <c r="G8" s="93" t="s">
        <v>642</v>
      </c>
      <c r="H8" s="93" t="str">
        <f t="shared" si="0"/>
        <v>MINISTRAR TREINAMENTO AGHUSE - MÓDULO AMBULATÓRIO ADMINISTRATIVO</v>
      </c>
      <c r="I8" s="93" t="s">
        <v>131</v>
      </c>
      <c r="J8" s="179">
        <v>43709</v>
      </c>
      <c r="K8" s="180">
        <v>16</v>
      </c>
      <c r="L8" s="180">
        <v>19</v>
      </c>
      <c r="M8" s="279">
        <v>131.91</v>
      </c>
      <c r="N8" s="279">
        <v>199.9</v>
      </c>
      <c r="O8" s="279"/>
      <c r="P8" s="280"/>
      <c r="Q8" s="281">
        <v>1692.03</v>
      </c>
      <c r="R8" s="282">
        <f>587.52+106</f>
        <v>693.52</v>
      </c>
      <c r="S8" s="283">
        <f t="shared" si="1"/>
        <v>2717.3599999999997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34.5" customHeight="1">
      <c r="A9" s="21"/>
      <c r="B9" s="247">
        <v>5</v>
      </c>
      <c r="C9" s="87" t="s">
        <v>643</v>
      </c>
      <c r="D9" s="93" t="s">
        <v>119</v>
      </c>
      <c r="E9" s="155" t="s">
        <v>913</v>
      </c>
      <c r="F9" s="102" t="s">
        <v>214</v>
      </c>
      <c r="G9" s="93" t="s">
        <v>644</v>
      </c>
      <c r="H9" s="93" t="str">
        <f t="shared" si="0"/>
        <v>MINISTRAR TREINAMENTO AGHUSE - MÓDULO AMBULATÓRIO E INTERNAÇÃO ASSISTENCIAL MÉDICO.</v>
      </c>
      <c r="I9" s="93" t="s">
        <v>131</v>
      </c>
      <c r="J9" s="179">
        <v>43709</v>
      </c>
      <c r="K9" s="180">
        <v>23</v>
      </c>
      <c r="L9" s="180">
        <v>26</v>
      </c>
      <c r="M9" s="279">
        <v>138.79</v>
      </c>
      <c r="N9" s="279">
        <v>34</v>
      </c>
      <c r="O9" s="279"/>
      <c r="P9" s="280"/>
      <c r="Q9" s="281">
        <v>1610.03</v>
      </c>
      <c r="R9" s="282">
        <f>587.52+103</f>
        <v>690.52</v>
      </c>
      <c r="S9" s="283">
        <f t="shared" si="1"/>
        <v>2473.34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34.5" customHeight="1">
      <c r="A10" s="21"/>
      <c r="B10" s="86">
        <v>6</v>
      </c>
      <c r="C10" s="87" t="s">
        <v>645</v>
      </c>
      <c r="D10" s="95" t="s">
        <v>167</v>
      </c>
      <c r="E10" s="155" t="s">
        <v>935</v>
      </c>
      <c r="F10" s="102" t="s">
        <v>101</v>
      </c>
      <c r="G10" s="93" t="s">
        <v>646</v>
      </c>
      <c r="H10" s="93" t="str">
        <f t="shared" si="0"/>
        <v>MINISTRAR TREINAMENTO AGHUSE -MÓDULO AMBULATÓRIO E INTERNAÇÃO ASSISTENCIAL ENFERMAGEM.</v>
      </c>
      <c r="I10" s="93" t="s">
        <v>131</v>
      </c>
      <c r="J10" s="179" t="s">
        <v>647</v>
      </c>
      <c r="K10" s="180">
        <v>30</v>
      </c>
      <c r="L10" s="180">
        <v>3</v>
      </c>
      <c r="M10" s="279">
        <v>118.28</v>
      </c>
      <c r="N10" s="279">
        <v>24.5</v>
      </c>
      <c r="O10" s="279"/>
      <c r="P10" s="280"/>
      <c r="Q10" s="281">
        <f>400.08+589.85</f>
        <v>989.93000000000006</v>
      </c>
      <c r="R10" s="282">
        <f>587.52+180.5</f>
        <v>768.02</v>
      </c>
      <c r="S10" s="283">
        <f t="shared" si="1"/>
        <v>1900.73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23.25" customHeight="1">
      <c r="A11" s="21"/>
      <c r="B11" s="247">
        <v>7</v>
      </c>
      <c r="C11" s="87" t="s">
        <v>648</v>
      </c>
      <c r="D11" s="95" t="s">
        <v>268</v>
      </c>
      <c r="E11" s="155" t="s">
        <v>925</v>
      </c>
      <c r="F11" s="102" t="s">
        <v>636</v>
      </c>
      <c r="G11" s="93" t="s">
        <v>649</v>
      </c>
      <c r="H11" s="93" t="str">
        <f t="shared" si="0"/>
        <v>MINISTRAR TREINAMENTO AGHUSE -MÓDULO ESTOQUE.</v>
      </c>
      <c r="I11" s="93" t="s">
        <v>131</v>
      </c>
      <c r="J11" s="179">
        <v>43739</v>
      </c>
      <c r="K11" s="180">
        <v>14</v>
      </c>
      <c r="L11" s="180">
        <v>17</v>
      </c>
      <c r="M11" s="279">
        <v>156.07</v>
      </c>
      <c r="N11" s="279">
        <v>143.09</v>
      </c>
      <c r="O11" s="279"/>
      <c r="P11" s="280"/>
      <c r="Q11" s="281">
        <f>512.08+589.85</f>
        <v>1101.93</v>
      </c>
      <c r="R11" s="282">
        <f>902.7+75.5</f>
        <v>978.2</v>
      </c>
      <c r="S11" s="283">
        <f t="shared" si="1"/>
        <v>2379.29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22.5" customHeight="1">
      <c r="A12" s="21"/>
      <c r="B12" s="247">
        <v>8</v>
      </c>
      <c r="C12" s="87" t="s">
        <v>650</v>
      </c>
      <c r="D12" s="95" t="s">
        <v>259</v>
      </c>
      <c r="E12" s="155" t="s">
        <v>923</v>
      </c>
      <c r="F12" s="102" t="s">
        <v>651</v>
      </c>
      <c r="G12" s="93" t="s">
        <v>652</v>
      </c>
      <c r="H12" s="93" t="str">
        <f t="shared" si="0"/>
        <v>MINISTRAR TREINAMENTO AGHUSE -MÓDULO FARMÁCIA.</v>
      </c>
      <c r="I12" s="93" t="s">
        <v>131</v>
      </c>
      <c r="J12" s="179">
        <v>43770</v>
      </c>
      <c r="K12" s="180">
        <v>5</v>
      </c>
      <c r="L12" s="180">
        <v>8</v>
      </c>
      <c r="M12" s="279">
        <v>109.37</v>
      </c>
      <c r="N12" s="279">
        <v>291</v>
      </c>
      <c r="O12" s="279"/>
      <c r="P12" s="280"/>
      <c r="Q12" s="281">
        <f>1386.83+1284.13</f>
        <v>2670.96</v>
      </c>
      <c r="R12" s="282">
        <f>587.52+88.5</f>
        <v>676.02</v>
      </c>
      <c r="S12" s="283">
        <f t="shared" si="1"/>
        <v>3747.35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23.25" customHeight="1">
      <c r="A13" s="21"/>
      <c r="B13" s="86">
        <v>9</v>
      </c>
      <c r="C13" s="87" t="s">
        <v>653</v>
      </c>
      <c r="D13" s="95" t="s">
        <v>654</v>
      </c>
      <c r="E13" s="155" t="s">
        <v>999</v>
      </c>
      <c r="F13" s="102" t="s">
        <v>655</v>
      </c>
      <c r="G13" s="93" t="s">
        <v>656</v>
      </c>
      <c r="H13" s="93" t="str">
        <f t="shared" si="0"/>
        <v>MINISTRAR TREINAMENTO AGHUSE -MÓDULO COMPRAS.</v>
      </c>
      <c r="I13" s="93" t="s">
        <v>131</v>
      </c>
      <c r="J13" s="179">
        <v>43739</v>
      </c>
      <c r="K13" s="180">
        <v>7</v>
      </c>
      <c r="L13" s="180">
        <v>10</v>
      </c>
      <c r="M13" s="279">
        <v>86.8</v>
      </c>
      <c r="N13" s="279">
        <v>52.8</v>
      </c>
      <c r="O13" s="279"/>
      <c r="P13" s="280"/>
      <c r="Q13" s="281">
        <v>1284.08</v>
      </c>
      <c r="R13" s="282">
        <f>139.5+587.52</f>
        <v>727.02</v>
      </c>
      <c r="S13" s="283">
        <f t="shared" si="1"/>
        <v>2150.6999999999998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23.25" customHeight="1">
      <c r="A14" s="21"/>
      <c r="B14" s="247">
        <v>10</v>
      </c>
      <c r="C14" s="87" t="s">
        <v>657</v>
      </c>
      <c r="D14" s="95" t="s">
        <v>343</v>
      </c>
      <c r="E14" s="89" t="s">
        <v>1000</v>
      </c>
      <c r="F14" s="92" t="s">
        <v>658</v>
      </c>
      <c r="G14" s="102" t="s">
        <v>659</v>
      </c>
      <c r="H14" s="93" t="str">
        <f t="shared" si="0"/>
        <v>PARTICIPAÇÃO NO SEMINÁRIO DE AUDITORIA BASEADA EM RISCOS.</v>
      </c>
      <c r="I14" s="93" t="s">
        <v>72</v>
      </c>
      <c r="J14" s="103">
        <v>43709</v>
      </c>
      <c r="K14" s="95">
        <v>8</v>
      </c>
      <c r="L14" s="177">
        <v>10</v>
      </c>
      <c r="M14" s="279">
        <v>42.13</v>
      </c>
      <c r="N14" s="279">
        <v>208.98</v>
      </c>
      <c r="O14" s="279"/>
      <c r="P14" s="280"/>
      <c r="Q14" s="281">
        <v>2479.5500000000002</v>
      </c>
      <c r="R14" s="282">
        <f>657.8+90.2</f>
        <v>748</v>
      </c>
      <c r="S14" s="283">
        <f t="shared" si="1"/>
        <v>3478.6600000000003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ht="23.25" customHeight="1">
      <c r="A15" s="21"/>
      <c r="B15" s="247">
        <v>11</v>
      </c>
      <c r="C15" s="97" t="s">
        <v>657</v>
      </c>
      <c r="D15" s="95" t="s">
        <v>660</v>
      </c>
      <c r="E15" s="89" t="s">
        <v>1001</v>
      </c>
      <c r="F15" s="92" t="s">
        <v>295</v>
      </c>
      <c r="G15" s="102" t="s">
        <v>659</v>
      </c>
      <c r="H15" s="93" t="str">
        <f t="shared" si="0"/>
        <v>PARTICIPAÇÃO NO SEMINÁRIO DE AUDITORIA BASEADA EM RISCOS.</v>
      </c>
      <c r="I15" s="93" t="s">
        <v>72</v>
      </c>
      <c r="J15" s="103">
        <v>43709</v>
      </c>
      <c r="K15" s="95">
        <v>8</v>
      </c>
      <c r="L15" s="177">
        <v>10</v>
      </c>
      <c r="M15" s="279">
        <v>278.12</v>
      </c>
      <c r="N15" s="279">
        <v>182.33</v>
      </c>
      <c r="O15" s="279"/>
      <c r="P15" s="280"/>
      <c r="Q15" s="281">
        <v>2479.5500000000002</v>
      </c>
      <c r="R15" s="282">
        <f>657.8+101.2</f>
        <v>759</v>
      </c>
      <c r="S15" s="283">
        <f t="shared" si="1"/>
        <v>3699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15.75" customHeight="1">
      <c r="A16" s="21"/>
      <c r="B16" s="86">
        <v>12</v>
      </c>
      <c r="C16" s="97" t="s">
        <v>661</v>
      </c>
      <c r="D16" s="95" t="s">
        <v>147</v>
      </c>
      <c r="E16" s="89" t="s">
        <v>902</v>
      </c>
      <c r="F16" s="95" t="s">
        <v>587</v>
      </c>
      <c r="G16" s="93" t="s">
        <v>588</v>
      </c>
      <c r="H16" s="93" t="str">
        <f t="shared" si="0"/>
        <v>REUNIÃO DO CONSELHO DA ADMINISTRAÇÃO</v>
      </c>
      <c r="I16" s="93" t="s">
        <v>179</v>
      </c>
      <c r="J16" s="103">
        <v>43709</v>
      </c>
      <c r="K16" s="95">
        <v>23</v>
      </c>
      <c r="L16" s="95">
        <v>23</v>
      </c>
      <c r="M16" s="279"/>
      <c r="N16" s="279"/>
      <c r="O16" s="279"/>
      <c r="P16" s="280"/>
      <c r="Q16" s="281">
        <f>859.59+270</f>
        <v>1129.5900000000001</v>
      </c>
      <c r="R16" s="282">
        <v>0</v>
      </c>
      <c r="S16" s="283">
        <f t="shared" si="1"/>
        <v>1129.5900000000001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35.25" customHeight="1">
      <c r="A17" s="21"/>
      <c r="B17" s="247">
        <v>13</v>
      </c>
      <c r="C17" s="97" t="s">
        <v>662</v>
      </c>
      <c r="D17" s="95" t="s">
        <v>663</v>
      </c>
      <c r="E17" s="89" t="s">
        <v>1002</v>
      </c>
      <c r="F17" s="95" t="s">
        <v>664</v>
      </c>
      <c r="G17" s="158" t="s">
        <v>665</v>
      </c>
      <c r="H17" s="93" t="str">
        <f t="shared" si="0"/>
        <v>PARTICIPAR EVENTO AACR - AMERICAN ASSOCIATION FOR CANCER RESEARCH, COMO PALESTRANTE.</v>
      </c>
      <c r="I17" s="93" t="s">
        <v>666</v>
      </c>
      <c r="J17" s="179" t="s">
        <v>667</v>
      </c>
      <c r="K17" s="180">
        <v>25</v>
      </c>
      <c r="L17" s="180">
        <v>4</v>
      </c>
      <c r="M17" s="279"/>
      <c r="N17" s="279"/>
      <c r="O17" s="279"/>
      <c r="P17" s="280"/>
      <c r="Q17" s="281">
        <f>5311.8+568.4</f>
        <v>5880.2</v>
      </c>
      <c r="R17" s="282">
        <v>0</v>
      </c>
      <c r="S17" s="283">
        <f t="shared" si="1"/>
        <v>5880.2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13.5" customHeight="1">
      <c r="A18" s="21"/>
      <c r="B18" s="247">
        <v>14</v>
      </c>
      <c r="C18" s="97" t="s">
        <v>668</v>
      </c>
      <c r="D18" s="95" t="s">
        <v>445</v>
      </c>
      <c r="E18" s="89" t="s">
        <v>969</v>
      </c>
      <c r="F18" s="95" t="s">
        <v>587</v>
      </c>
      <c r="G18" s="93" t="s">
        <v>588</v>
      </c>
      <c r="H18" s="93" t="str">
        <f t="shared" si="0"/>
        <v>REUNIÃO DO CONSELHO DA ADMINISTRAÇÃO</v>
      </c>
      <c r="I18" s="93" t="s">
        <v>52</v>
      </c>
      <c r="J18" s="103">
        <v>43709</v>
      </c>
      <c r="K18" s="95">
        <v>23</v>
      </c>
      <c r="L18" s="95">
        <v>23</v>
      </c>
      <c r="M18" s="279"/>
      <c r="N18" s="279"/>
      <c r="O18" s="279"/>
      <c r="P18" s="295"/>
      <c r="Q18" s="281">
        <f>1062.57+1412.98</f>
        <v>2475.5500000000002</v>
      </c>
      <c r="R18" s="282">
        <v>0</v>
      </c>
      <c r="S18" s="283">
        <f t="shared" si="1"/>
        <v>2475.5500000000002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2.75" customHeight="1">
      <c r="A19" s="21"/>
      <c r="B19" s="86">
        <v>15</v>
      </c>
      <c r="C19" s="97" t="s">
        <v>669</v>
      </c>
      <c r="D19" s="95" t="s">
        <v>48</v>
      </c>
      <c r="E19" s="89" t="s">
        <v>903</v>
      </c>
      <c r="F19" s="95" t="s">
        <v>587</v>
      </c>
      <c r="G19" s="93" t="s">
        <v>588</v>
      </c>
      <c r="H19" s="93" t="str">
        <f t="shared" si="0"/>
        <v>REUNIÃO DO CONSELHO DA ADMINISTRAÇÃO</v>
      </c>
      <c r="I19" s="93" t="s">
        <v>52</v>
      </c>
      <c r="J19" s="103">
        <v>43709</v>
      </c>
      <c r="K19" s="95">
        <v>23</v>
      </c>
      <c r="L19" s="95">
        <v>23</v>
      </c>
      <c r="M19" s="279"/>
      <c r="N19" s="279"/>
      <c r="O19" s="279"/>
      <c r="P19" s="295"/>
      <c r="Q19" s="281">
        <v>1833.75</v>
      </c>
      <c r="R19" s="282">
        <v>0</v>
      </c>
      <c r="S19" s="283">
        <f t="shared" si="1"/>
        <v>1833.75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80.25" customHeight="1">
      <c r="A20" s="21"/>
      <c r="B20" s="247">
        <v>16</v>
      </c>
      <c r="C20" s="87" t="s">
        <v>670</v>
      </c>
      <c r="D20" s="95" t="s">
        <v>671</v>
      </c>
      <c r="E20" s="89" t="s">
        <v>1003</v>
      </c>
      <c r="F20" s="95" t="s">
        <v>672</v>
      </c>
      <c r="G20" s="102" t="s">
        <v>673</v>
      </c>
      <c r="H20" s="93" t="str">
        <f t="shared" si="0"/>
        <v>PARTICIPAR DA CAPACITAÇÃO PARA PRESCRIÇÃO E CUIDADOS ESPECIAIS DE CRIANÇAS EM NUTRIÇÃO PARENTERAL PARA CONTINUIDADE DO TRATAMENTO EM DOMICÍLIO DA PACIENTE GEOVANA CHIQUETTI HRESCAK - PRONTUÁRIO 15758766, INTEGRANTE DO PROGRAMA DE REABILITAÇÃO INTESTINAL DE CRIANÇAS E ADOLESCENTES - PRICA,</v>
      </c>
      <c r="I20" s="93" t="s">
        <v>674</v>
      </c>
      <c r="J20" s="103">
        <v>43709</v>
      </c>
      <c r="K20" s="95">
        <v>24</v>
      </c>
      <c r="L20" s="95">
        <v>24</v>
      </c>
      <c r="M20" s="279"/>
      <c r="N20" s="279"/>
      <c r="O20" s="279"/>
      <c r="P20" s="295"/>
      <c r="Q20" s="281">
        <v>1864.09</v>
      </c>
      <c r="R20" s="282">
        <v>0</v>
      </c>
      <c r="S20" s="283">
        <f t="shared" si="1"/>
        <v>1864.09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ht="79.5" customHeight="1">
      <c r="A21" s="21"/>
      <c r="B21" s="247">
        <v>17</v>
      </c>
      <c r="C21" s="87" t="s">
        <v>675</v>
      </c>
      <c r="D21" s="95" t="s">
        <v>676</v>
      </c>
      <c r="E21" s="89" t="s">
        <v>1004</v>
      </c>
      <c r="F21" s="95" t="s">
        <v>677</v>
      </c>
      <c r="G21" s="102" t="s">
        <v>673</v>
      </c>
      <c r="H21" s="93" t="str">
        <f t="shared" si="0"/>
        <v>PARTICIPAR DA CAPACITAÇÃO PARA PRESCRIÇÃO E CUIDADOS ESPECIAIS DE CRIANÇAS EM NUTRIÇÃO PARENTERAL PARA CONTINUIDADE DO TRATAMENTO EM DOMICÍLIO DA PACIENTE GEOVANA CHIQUETTI HRESCAK - PRONTUÁRIO 15758766, INTEGRANTE DO PROGRAMA DE REABILITAÇÃO INTESTINAL DE CRIANÇAS E ADOLESCENTES - PRICA,</v>
      </c>
      <c r="I21" s="93" t="s">
        <v>674</v>
      </c>
      <c r="J21" s="103">
        <v>43709</v>
      </c>
      <c r="K21" s="95">
        <v>24</v>
      </c>
      <c r="L21" s="95">
        <v>24</v>
      </c>
      <c r="M21" s="279"/>
      <c r="N21" s="279"/>
      <c r="O21" s="279"/>
      <c r="P21" s="295"/>
      <c r="Q21" s="281">
        <v>1419.77</v>
      </c>
      <c r="R21" s="282">
        <v>0</v>
      </c>
      <c r="S21" s="283">
        <f t="shared" si="1"/>
        <v>1419.77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ht="79.5" customHeight="1">
      <c r="A22" s="21"/>
      <c r="B22" s="86">
        <v>18</v>
      </c>
      <c r="C22" s="87" t="s">
        <v>678</v>
      </c>
      <c r="D22" s="95" t="s">
        <v>679</v>
      </c>
      <c r="E22" s="89" t="s">
        <v>1005</v>
      </c>
      <c r="F22" s="95" t="s">
        <v>677</v>
      </c>
      <c r="G22" s="102" t="s">
        <v>673</v>
      </c>
      <c r="H22" s="93" t="str">
        <f t="shared" si="0"/>
        <v>PARTICIPAR DA CAPACITAÇÃO PARA PRESCRIÇÃO E CUIDADOS ESPECIAIS DE CRIANÇAS EM NUTRIÇÃO PARENTERAL PARA CONTINUIDADE DO TRATAMENTO EM DOMICÍLIO DA PACIENTE GEOVANA CHIQUETTI HRESCAK - PRONTUÁRIO 15758766, INTEGRANTE DO PROGRAMA DE REABILITAÇÃO INTESTINAL DE CRIANÇAS E ADOLESCENTES - PRICA,</v>
      </c>
      <c r="I22" s="93" t="s">
        <v>674</v>
      </c>
      <c r="J22" s="103">
        <v>43709</v>
      </c>
      <c r="K22" s="95">
        <v>24</v>
      </c>
      <c r="L22" s="95">
        <v>24</v>
      </c>
      <c r="M22" s="279"/>
      <c r="N22" s="279"/>
      <c r="O22" s="279"/>
      <c r="P22" s="295"/>
      <c r="Q22" s="281">
        <v>1864.09</v>
      </c>
      <c r="R22" s="282">
        <v>0</v>
      </c>
      <c r="S22" s="283">
        <f t="shared" si="1"/>
        <v>1864.09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ht="81" customHeight="1">
      <c r="A23" s="21"/>
      <c r="B23" s="247">
        <v>19</v>
      </c>
      <c r="C23" s="87" t="s">
        <v>680</v>
      </c>
      <c r="D23" s="95" t="s">
        <v>681</v>
      </c>
      <c r="E23" s="89" t="s">
        <v>1006</v>
      </c>
      <c r="F23" s="95" t="s">
        <v>677</v>
      </c>
      <c r="G23" s="102" t="s">
        <v>673</v>
      </c>
      <c r="H23" s="93" t="str">
        <f t="shared" si="0"/>
        <v>PARTICIPAR DA CAPACITAÇÃO PARA PRESCRIÇÃO E CUIDADOS ESPECIAIS DE CRIANÇAS EM NUTRIÇÃO PARENTERAL PARA CONTINUIDADE DO TRATAMENTO EM DOMICÍLIO DA PACIENTE GEOVANA CHIQUETTI HRESCAK - PRONTUÁRIO 15758766, INTEGRANTE DO PROGRAMA DE REABILITAÇÃO INTESTINAL DE CRIANÇAS E ADOLESCENTES - PRICA,</v>
      </c>
      <c r="I23" s="93" t="s">
        <v>674</v>
      </c>
      <c r="J23" s="103">
        <v>43709</v>
      </c>
      <c r="K23" s="95">
        <v>24</v>
      </c>
      <c r="L23" s="95">
        <v>24</v>
      </c>
      <c r="M23" s="279"/>
      <c r="N23" s="279"/>
      <c r="O23" s="279"/>
      <c r="P23" s="295"/>
      <c r="Q23" s="281">
        <v>1864.09</v>
      </c>
      <c r="R23" s="282">
        <v>0</v>
      </c>
      <c r="S23" s="283">
        <f t="shared" si="1"/>
        <v>1864.09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ht="78.75" customHeight="1">
      <c r="A24" s="21"/>
      <c r="B24" s="247">
        <v>20</v>
      </c>
      <c r="C24" s="87" t="s">
        <v>682</v>
      </c>
      <c r="D24" s="95" t="s">
        <v>683</v>
      </c>
      <c r="E24" s="89" t="s">
        <v>1007</v>
      </c>
      <c r="F24" s="95" t="s">
        <v>672</v>
      </c>
      <c r="G24" s="102" t="s">
        <v>673</v>
      </c>
      <c r="H24" s="93" t="str">
        <f t="shared" si="0"/>
        <v>PARTICIPAR DA CAPACITAÇÃO PARA PRESCRIÇÃO E CUIDADOS ESPECIAIS DE CRIANÇAS EM NUTRIÇÃO PARENTERAL PARA CONTINUIDADE DO TRATAMENTO EM DOMICÍLIO DA PACIENTE GEOVANA CHIQUETTI HRESCAK - PRONTUÁRIO 15758766, INTEGRANTE DO PROGRAMA DE REABILITAÇÃO INTESTINAL DE CRIANÇAS E ADOLESCENTES - PRICA,</v>
      </c>
      <c r="I24" s="93" t="s">
        <v>674</v>
      </c>
      <c r="J24" s="103">
        <v>43709</v>
      </c>
      <c r="K24" s="95">
        <v>24</v>
      </c>
      <c r="L24" s="95">
        <v>24</v>
      </c>
      <c r="M24" s="279"/>
      <c r="N24" s="279"/>
      <c r="O24" s="279"/>
      <c r="P24" s="295"/>
      <c r="Q24" s="281">
        <v>1864.09</v>
      </c>
      <c r="R24" s="282">
        <v>0</v>
      </c>
      <c r="S24" s="283">
        <f t="shared" si="1"/>
        <v>1864.09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ht="33.75" customHeight="1">
      <c r="A25" s="21"/>
      <c r="B25" s="86">
        <v>21</v>
      </c>
      <c r="C25" s="87" t="s">
        <v>684</v>
      </c>
      <c r="D25" s="95" t="s">
        <v>497</v>
      </c>
      <c r="E25" s="89" t="s">
        <v>976</v>
      </c>
      <c r="F25" s="95" t="s">
        <v>112</v>
      </c>
      <c r="G25" s="102" t="s">
        <v>685</v>
      </c>
      <c r="H25" s="93" t="str">
        <f t="shared" si="0"/>
        <v>PARTICIPAR DO ENCONTRO ONDE SERÁ DISCUTIDA A NOVA PROPOSTA DE AVALIAÇÃO DOS MESTRADOS PROFISSIONAIS, PELA CAPES.</v>
      </c>
      <c r="I25" s="95" t="s">
        <v>93</v>
      </c>
      <c r="J25" s="103">
        <v>43709</v>
      </c>
      <c r="K25" s="95">
        <v>18</v>
      </c>
      <c r="L25" s="95">
        <v>20</v>
      </c>
      <c r="M25" s="279">
        <v>118.11</v>
      </c>
      <c r="N25" s="279">
        <v>0</v>
      </c>
      <c r="O25" s="279"/>
      <c r="P25" s="295"/>
      <c r="Q25" s="281">
        <v>1978.16</v>
      </c>
      <c r="R25" s="282">
        <f>483+59</f>
        <v>542</v>
      </c>
      <c r="S25" s="283">
        <f t="shared" si="1"/>
        <v>2638.27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ht="34.5" customHeight="1">
      <c r="A26" s="21"/>
      <c r="B26" s="247">
        <v>22</v>
      </c>
      <c r="C26" s="87" t="s">
        <v>686</v>
      </c>
      <c r="D26" s="95" t="s">
        <v>127</v>
      </c>
      <c r="E26" s="155" t="s">
        <v>937</v>
      </c>
      <c r="F26" s="102" t="s">
        <v>618</v>
      </c>
      <c r="G26" s="102" t="s">
        <v>687</v>
      </c>
      <c r="H26" s="93" t="str">
        <f t="shared" si="0"/>
        <v>REUNIÃO NO TCU, JUNTAMENTE COM OS ADVOGADOS DO HCPA, PARA DEFESA DO EDITAL N.º 0395/2019.</v>
      </c>
      <c r="I26" s="95" t="s">
        <v>72</v>
      </c>
      <c r="J26" s="103">
        <v>43709</v>
      </c>
      <c r="K26" s="95">
        <v>18</v>
      </c>
      <c r="L26" s="95">
        <v>19</v>
      </c>
      <c r="M26" s="279">
        <v>133.81</v>
      </c>
      <c r="N26" s="279">
        <v>120.65</v>
      </c>
      <c r="O26" s="279"/>
      <c r="P26" s="295"/>
      <c r="Q26" s="281">
        <v>2163.5500000000002</v>
      </c>
      <c r="R26" s="282">
        <f t="shared" ref="R26:R27" si="2">209+5.5</f>
        <v>214.5</v>
      </c>
      <c r="S26" s="283">
        <f t="shared" si="1"/>
        <v>2632.51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ht="23.25" customHeight="1">
      <c r="A27" s="21"/>
      <c r="B27" s="247">
        <v>23</v>
      </c>
      <c r="C27" s="254" t="s">
        <v>688</v>
      </c>
      <c r="D27" s="95" t="s">
        <v>192</v>
      </c>
      <c r="E27" s="89" t="s">
        <v>908</v>
      </c>
      <c r="F27" s="151" t="s">
        <v>448</v>
      </c>
      <c r="G27" s="102" t="s">
        <v>689</v>
      </c>
      <c r="H27" s="93" t="str">
        <f t="shared" si="0"/>
        <v>REUNIÃO AGENDADA NO TRIBUNAL DE CONTAS DA UNIÃO (TCU) E NO MINISTÉRIO DA SAÚDE.</v>
      </c>
      <c r="I27" s="95" t="s">
        <v>72</v>
      </c>
      <c r="J27" s="103">
        <v>43709</v>
      </c>
      <c r="K27" s="95">
        <v>18</v>
      </c>
      <c r="L27" s="95">
        <v>19</v>
      </c>
      <c r="M27" s="279">
        <v>0</v>
      </c>
      <c r="N27" s="279">
        <v>0</v>
      </c>
      <c r="O27" s="279"/>
      <c r="P27" s="295"/>
      <c r="Q27" s="281">
        <v>2912.55</v>
      </c>
      <c r="R27" s="282">
        <f t="shared" si="2"/>
        <v>214.5</v>
      </c>
      <c r="S27" s="283">
        <f t="shared" si="1"/>
        <v>3127.05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7" ht="24.75" customHeight="1">
      <c r="A28" s="21"/>
      <c r="B28" s="86">
        <v>24</v>
      </c>
      <c r="C28" s="87" t="s">
        <v>690</v>
      </c>
      <c r="D28" s="95" t="s">
        <v>196</v>
      </c>
      <c r="E28" s="155" t="s">
        <v>909</v>
      </c>
      <c r="F28" s="102" t="s">
        <v>624</v>
      </c>
      <c r="G28" s="102" t="s">
        <v>689</v>
      </c>
      <c r="H28" s="93" t="str">
        <f t="shared" si="0"/>
        <v>REUNIÃO AGENDADA NO TRIBUNAL DE CONTAS DA UNIÃO (TCU) E NO MINISTÉRIO DA SAÚDE.</v>
      </c>
      <c r="I28" s="95" t="s">
        <v>72</v>
      </c>
      <c r="J28" s="103">
        <v>43709</v>
      </c>
      <c r="K28" s="95">
        <v>18</v>
      </c>
      <c r="L28" s="95">
        <v>19</v>
      </c>
      <c r="M28" s="279">
        <v>38.46</v>
      </c>
      <c r="N28" s="279">
        <v>93.65</v>
      </c>
      <c r="O28" s="279"/>
      <c r="P28" s="295">
        <v>31.18</v>
      </c>
      <c r="Q28" s="281">
        <v>3202.55</v>
      </c>
      <c r="R28" s="282">
        <f>209+3.3</f>
        <v>212.3</v>
      </c>
      <c r="S28" s="283">
        <f t="shared" si="1"/>
        <v>3578.1400000000003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ht="12.75" customHeight="1">
      <c r="A29" s="21"/>
      <c r="B29" s="106"/>
      <c r="C29" s="210"/>
      <c r="D29" s="108"/>
      <c r="E29" s="108"/>
      <c r="F29" s="108"/>
      <c r="G29" s="108"/>
      <c r="H29" s="108" t="str">
        <f t="shared" si="0"/>
        <v/>
      </c>
      <c r="I29" s="113"/>
      <c r="J29" s="114"/>
      <c r="K29" s="255"/>
      <c r="L29" s="255"/>
      <c r="M29" s="116"/>
      <c r="N29" s="116"/>
      <c r="O29" s="116"/>
      <c r="P29" s="231"/>
      <c r="Q29" s="117"/>
      <c r="R29" s="118"/>
      <c r="S29" s="119">
        <f t="shared" si="1"/>
        <v>0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ht="24.75" customHeight="1">
      <c r="A30" s="41"/>
      <c r="B30" s="41"/>
      <c r="C30" s="41"/>
      <c r="D30" s="41"/>
      <c r="E30" s="41"/>
      <c r="F30" s="41"/>
      <c r="G30" s="41"/>
      <c r="H30" s="41"/>
      <c r="I30" s="125"/>
      <c r="J30" s="41"/>
      <c r="K30" s="34"/>
      <c r="L30" s="41"/>
      <c r="M30" s="170">
        <f t="shared" ref="M30:R30" si="3">SUM(M5:M29)</f>
        <v>1998.7700000000002</v>
      </c>
      <c r="N30" s="170">
        <f t="shared" si="3"/>
        <v>1911.95</v>
      </c>
      <c r="O30" s="170">
        <f t="shared" si="3"/>
        <v>0</v>
      </c>
      <c r="P30" s="192">
        <f t="shared" si="3"/>
        <v>31.18</v>
      </c>
      <c r="Q30" s="232">
        <f t="shared" si="3"/>
        <v>51055.07</v>
      </c>
      <c r="R30" s="233">
        <f t="shared" si="3"/>
        <v>9703.1999999999989</v>
      </c>
      <c r="S30" s="234">
        <f>SUM(S5:S29)+P31</f>
        <v>64700.481799999987</v>
      </c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</row>
    <row r="31" spans="1:37" ht="24.75" customHeight="1">
      <c r="A31" s="47"/>
      <c r="B31" s="47"/>
      <c r="C31" s="47"/>
      <c r="D31" s="310"/>
      <c r="E31" s="306"/>
      <c r="F31" s="306"/>
      <c r="G31" s="306"/>
      <c r="H31" s="306"/>
      <c r="I31" s="306"/>
      <c r="J31" s="306"/>
      <c r="K31" s="306"/>
      <c r="L31" s="47"/>
      <c r="M31" s="48"/>
      <c r="N31" s="48"/>
      <c r="O31" s="130" t="s">
        <v>94</v>
      </c>
      <c r="P31" s="22">
        <f>P30*1%</f>
        <v>0.31180000000000002</v>
      </c>
      <c r="Q31" s="47"/>
      <c r="R31" s="47"/>
      <c r="S31" s="52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37" ht="24.75" customHeight="1">
      <c r="A32" s="47"/>
      <c r="B32" s="47"/>
      <c r="C32" s="47"/>
      <c r="D32" s="256" t="s">
        <v>95</v>
      </c>
      <c r="E32" s="257"/>
      <c r="F32" s="257"/>
      <c r="G32" s="257"/>
      <c r="H32" s="257"/>
      <c r="I32" s="50"/>
      <c r="J32" s="47"/>
      <c r="K32" s="47"/>
      <c r="L32" s="48"/>
      <c r="M32" s="48"/>
      <c r="N32" s="48"/>
      <c r="O32" s="48"/>
      <c r="P32" s="131">
        <f>P30+P31</f>
        <v>31.491800000000001</v>
      </c>
      <c r="Q32" s="51"/>
      <c r="R32" s="52"/>
      <c r="S32" s="132" t="s">
        <v>96</v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1:37" ht="24.75" customHeight="1">
      <c r="A33" s="47"/>
      <c r="B33" s="47"/>
      <c r="C33" s="47"/>
      <c r="D33" s="311"/>
      <c r="E33" s="306"/>
      <c r="F33" s="306"/>
      <c r="G33" s="306"/>
      <c r="H33" s="306"/>
      <c r="I33" s="306"/>
      <c r="J33" s="306"/>
      <c r="K33" s="306"/>
      <c r="L33" s="47"/>
      <c r="M33" s="48"/>
      <c r="N33" s="48"/>
      <c r="O33" s="48"/>
      <c r="P33" s="22"/>
      <c r="Q33" s="4" t="s">
        <v>26</v>
      </c>
      <c r="R33" s="133">
        <f>M30+N30+O30+P32+Q30+R30</f>
        <v>64700.481799999994</v>
      </c>
      <c r="S33" s="56">
        <f>S30-R33</f>
        <v>0</v>
      </c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spans="1:37" ht="24.75" customHeight="1">
      <c r="C34" s="1"/>
      <c r="D34" s="1"/>
      <c r="E34" s="1"/>
      <c r="F34" s="1"/>
      <c r="G34" s="1"/>
      <c r="H34" s="1"/>
      <c r="I34" s="2"/>
      <c r="J34" s="63"/>
      <c r="K34" s="63"/>
      <c r="L34" s="63"/>
      <c r="M34" s="3"/>
      <c r="N34" s="3"/>
      <c r="O34" s="130" t="s">
        <v>94</v>
      </c>
      <c r="P34" s="22" t="s">
        <v>97</v>
      </c>
      <c r="Q34" s="4"/>
      <c r="R34" s="5"/>
      <c r="S34" s="5"/>
    </row>
    <row r="35" spans="1:37" ht="24.75" customHeight="1">
      <c r="C35" s="1"/>
      <c r="D35" s="1"/>
      <c r="E35" s="1"/>
      <c r="F35" s="1"/>
      <c r="G35" s="1"/>
      <c r="H35" s="1"/>
      <c r="I35" s="2"/>
      <c r="J35" s="63"/>
      <c r="K35" s="63"/>
      <c r="L35" s="63"/>
      <c r="M35" s="3"/>
      <c r="N35" s="3"/>
      <c r="O35" s="3"/>
      <c r="P35" s="22"/>
      <c r="Q35" s="4"/>
      <c r="R35" s="5"/>
      <c r="S35" s="5"/>
    </row>
    <row r="36" spans="1:37" ht="24.75" customHeight="1">
      <c r="C36" s="1"/>
      <c r="D36" s="1"/>
      <c r="E36" s="1"/>
      <c r="F36" s="1"/>
      <c r="G36" s="1"/>
      <c r="H36" s="1"/>
      <c r="I36" s="2"/>
      <c r="J36" s="63"/>
      <c r="K36" s="63"/>
      <c r="L36" s="63"/>
      <c r="M36" s="3"/>
      <c r="N36" s="3"/>
      <c r="O36" s="3"/>
      <c r="P36" s="22"/>
      <c r="Q36" s="4"/>
      <c r="R36" s="5"/>
      <c r="S36" s="5"/>
    </row>
    <row r="37" spans="1:37" ht="24.75" customHeight="1">
      <c r="C37" s="1"/>
      <c r="D37" s="1"/>
      <c r="E37" s="1"/>
      <c r="F37" s="1"/>
      <c r="G37" s="1"/>
      <c r="H37" s="1"/>
      <c r="I37" s="2"/>
      <c r="J37" s="63"/>
      <c r="K37" s="63"/>
      <c r="L37" s="63"/>
      <c r="M37" s="3"/>
      <c r="N37" s="3"/>
      <c r="O37" s="3"/>
      <c r="P37" s="22"/>
      <c r="Q37" s="4"/>
      <c r="R37" s="5"/>
      <c r="S37" s="5"/>
    </row>
    <row r="38" spans="1:37" ht="24.75" customHeight="1">
      <c r="C38" s="1"/>
      <c r="D38" s="1"/>
      <c r="E38" s="1"/>
      <c r="F38" s="1"/>
      <c r="G38" s="1"/>
      <c r="H38" s="1"/>
      <c r="I38" s="2"/>
      <c r="J38" s="63"/>
      <c r="K38" s="63"/>
      <c r="L38" s="63"/>
      <c r="M38" s="3"/>
      <c r="N38" s="3"/>
      <c r="O38" s="3"/>
      <c r="P38" s="22"/>
      <c r="Q38" s="4"/>
      <c r="R38" s="5"/>
      <c r="S38" s="5"/>
    </row>
    <row r="39" spans="1:37" ht="24.75" customHeight="1">
      <c r="C39" s="1"/>
      <c r="D39" s="1"/>
      <c r="E39" s="1"/>
      <c r="F39" s="1"/>
      <c r="G39" s="1"/>
      <c r="H39" s="1"/>
      <c r="I39" s="2"/>
      <c r="J39" s="63"/>
      <c r="K39" s="63"/>
      <c r="L39" s="63"/>
      <c r="M39" s="3"/>
      <c r="N39" s="3"/>
      <c r="O39" s="3"/>
      <c r="P39" s="22"/>
      <c r="Q39" s="4"/>
      <c r="R39" s="5"/>
      <c r="S39" s="5"/>
    </row>
    <row r="40" spans="1:37" ht="24.75" customHeight="1">
      <c r="C40" s="1"/>
      <c r="D40" s="1"/>
      <c r="E40" s="1"/>
      <c r="F40" s="1"/>
      <c r="G40" s="1"/>
      <c r="H40" s="1"/>
      <c r="I40" s="2"/>
      <c r="J40" s="63"/>
      <c r="K40" s="63"/>
      <c r="L40" s="63"/>
      <c r="M40" s="3"/>
      <c r="N40" s="3"/>
      <c r="O40" s="3"/>
      <c r="P40" s="22"/>
      <c r="Q40" s="4"/>
      <c r="R40" s="5"/>
      <c r="S40" s="5"/>
    </row>
    <row r="41" spans="1:37" ht="24.75" customHeight="1">
      <c r="C41" s="1"/>
      <c r="D41" s="1"/>
      <c r="E41" s="1"/>
      <c r="F41" s="1"/>
      <c r="G41" s="1"/>
      <c r="H41" s="1"/>
      <c r="I41" s="2"/>
      <c r="J41" s="63"/>
      <c r="K41" s="63"/>
      <c r="L41" s="63"/>
      <c r="M41" s="3"/>
      <c r="N41" s="3"/>
      <c r="O41" s="3"/>
      <c r="P41" s="22"/>
      <c r="Q41" s="4"/>
      <c r="R41" s="5"/>
      <c r="S41" s="5"/>
    </row>
    <row r="42" spans="1:37" ht="24.75" customHeight="1">
      <c r="C42" s="1"/>
      <c r="I42" s="2"/>
      <c r="J42" s="63"/>
      <c r="K42" s="63"/>
      <c r="L42" s="63"/>
      <c r="M42" s="3"/>
      <c r="N42" s="3"/>
      <c r="O42" s="3"/>
      <c r="P42" s="22"/>
      <c r="Q42" s="4"/>
      <c r="R42" s="5"/>
      <c r="S42" s="5"/>
    </row>
    <row r="43" spans="1:37" ht="24.75" customHeight="1">
      <c r="C43" s="1"/>
      <c r="D43" s="1"/>
      <c r="E43" s="1"/>
      <c r="F43" s="1"/>
      <c r="G43" s="1"/>
      <c r="H43" s="1"/>
      <c r="I43" s="2"/>
      <c r="J43" s="63"/>
      <c r="K43" s="63"/>
      <c r="L43" s="63"/>
      <c r="M43" s="3"/>
      <c r="N43" s="3"/>
      <c r="O43" s="3"/>
      <c r="P43" s="22"/>
      <c r="Q43" s="4"/>
      <c r="R43" s="5"/>
      <c r="S43" s="5"/>
    </row>
    <row r="44" spans="1:37" ht="24.75" customHeight="1">
      <c r="C44" s="1"/>
      <c r="D44" s="1"/>
      <c r="E44" s="1"/>
      <c r="F44" s="1"/>
      <c r="G44" s="1"/>
      <c r="H44" s="1"/>
      <c r="I44" s="2"/>
      <c r="J44" s="63"/>
      <c r="K44" s="63"/>
      <c r="L44" s="63"/>
      <c r="M44" s="3"/>
      <c r="N44" s="3"/>
      <c r="O44" s="3"/>
      <c r="P44" s="134"/>
      <c r="Q44" s="4"/>
      <c r="R44" s="5"/>
      <c r="S44" s="5"/>
    </row>
    <row r="45" spans="1:37" ht="24.75" customHeight="1">
      <c r="C45" s="1"/>
      <c r="D45" s="1"/>
      <c r="E45" s="1"/>
      <c r="F45" s="1"/>
      <c r="G45" s="1"/>
      <c r="H45" s="1"/>
      <c r="I45" s="2"/>
      <c r="J45" s="63"/>
      <c r="K45" s="63"/>
      <c r="L45" s="63"/>
      <c r="M45" s="3"/>
      <c r="N45" s="3"/>
      <c r="O45" s="3"/>
      <c r="P45" s="47"/>
    </row>
    <row r="46" spans="1:37" ht="24.75" customHeight="1">
      <c r="C46" s="1"/>
      <c r="D46" s="1"/>
      <c r="E46" s="1"/>
      <c r="F46" s="1"/>
      <c r="G46" s="1"/>
      <c r="H46" s="1"/>
      <c r="I46" s="2"/>
      <c r="J46" s="63"/>
      <c r="K46" s="63"/>
      <c r="L46" s="63"/>
      <c r="M46" s="3"/>
      <c r="N46" s="3"/>
      <c r="O46" s="3"/>
      <c r="P46" s="47"/>
    </row>
    <row r="47" spans="1:37" ht="24.75" customHeight="1">
      <c r="C47" s="1"/>
      <c r="D47" s="1"/>
      <c r="E47" s="1"/>
      <c r="F47" s="1"/>
      <c r="G47" s="1"/>
      <c r="H47" s="1"/>
      <c r="I47" s="2"/>
      <c r="J47" s="63"/>
      <c r="K47" s="63"/>
      <c r="L47" s="63"/>
      <c r="M47" s="3"/>
      <c r="N47" s="3"/>
      <c r="O47" s="3"/>
      <c r="P47" s="47"/>
    </row>
    <row r="48" spans="1:37" ht="24.75" customHeight="1">
      <c r="C48" s="1"/>
      <c r="D48" s="1"/>
      <c r="E48" s="1"/>
      <c r="F48" s="1"/>
      <c r="G48" s="1"/>
      <c r="H48" s="1"/>
      <c r="I48" s="2"/>
      <c r="J48" s="63"/>
      <c r="K48" s="63"/>
      <c r="L48" s="63"/>
      <c r="M48" s="3"/>
      <c r="N48" s="3"/>
      <c r="O48" s="3"/>
    </row>
    <row r="49" spans="3:15" ht="24.75" customHeight="1">
      <c r="C49" s="1"/>
      <c r="D49" s="1"/>
      <c r="E49" s="1"/>
      <c r="F49" s="1"/>
      <c r="G49" s="1"/>
      <c r="H49" s="1"/>
      <c r="I49" s="2"/>
      <c r="J49" s="63"/>
      <c r="K49" s="63"/>
      <c r="L49" s="63"/>
      <c r="M49" s="3"/>
      <c r="N49" s="3"/>
      <c r="O49" s="3"/>
    </row>
    <row r="50" spans="3:15" ht="24.75" customHeight="1">
      <c r="C50" s="1"/>
      <c r="D50" s="1"/>
      <c r="E50" s="1"/>
      <c r="F50" s="1"/>
      <c r="G50" s="1"/>
      <c r="H50" s="1"/>
      <c r="I50" s="2"/>
      <c r="J50" s="63"/>
      <c r="K50" s="63"/>
      <c r="L50" s="63"/>
      <c r="M50" s="3"/>
      <c r="N50" s="3"/>
      <c r="O50" s="3"/>
    </row>
    <row r="51" spans="3:15" ht="24.75" customHeight="1">
      <c r="C51" s="1"/>
      <c r="D51" s="1"/>
      <c r="E51" s="1"/>
      <c r="F51" s="1"/>
      <c r="G51" s="1"/>
      <c r="H51" s="1"/>
      <c r="I51" s="2"/>
      <c r="J51" s="63"/>
      <c r="K51" s="63"/>
      <c r="L51" s="63"/>
      <c r="M51" s="3"/>
      <c r="N51" s="3"/>
      <c r="O51" s="3"/>
    </row>
    <row r="52" spans="3:15" ht="24.75" customHeight="1">
      <c r="C52" s="1"/>
      <c r="D52" s="1"/>
      <c r="E52" s="1"/>
      <c r="F52" s="1"/>
      <c r="G52" s="1"/>
      <c r="H52" s="1"/>
      <c r="I52" s="2"/>
      <c r="J52" s="63"/>
      <c r="K52" s="63"/>
      <c r="L52" s="63"/>
      <c r="M52" s="3"/>
      <c r="N52" s="3"/>
      <c r="O52" s="3"/>
    </row>
    <row r="53" spans="3:15" ht="24.75" customHeight="1">
      <c r="C53" s="1"/>
      <c r="D53" s="1"/>
      <c r="E53" s="1"/>
      <c r="F53" s="1"/>
      <c r="G53" s="1"/>
      <c r="H53" s="1"/>
      <c r="I53" s="2"/>
      <c r="J53" s="63"/>
      <c r="K53" s="63"/>
      <c r="L53" s="63"/>
      <c r="M53" s="3"/>
      <c r="N53" s="3"/>
      <c r="O53" s="3"/>
    </row>
    <row r="54" spans="3:15" ht="24.75" customHeight="1">
      <c r="C54" s="1"/>
      <c r="D54" s="1"/>
      <c r="E54" s="1"/>
      <c r="F54" s="1"/>
      <c r="G54" s="1"/>
      <c r="H54" s="1"/>
      <c r="I54" s="2"/>
      <c r="J54" s="63"/>
      <c r="K54" s="63"/>
      <c r="L54" s="63"/>
      <c r="M54" s="3"/>
      <c r="N54" s="3"/>
      <c r="O54" s="3"/>
    </row>
    <row r="55" spans="3:15" ht="24.75" customHeight="1">
      <c r="C55" s="1"/>
      <c r="D55" s="1"/>
      <c r="E55" s="1"/>
      <c r="F55" s="1"/>
      <c r="G55" s="1"/>
      <c r="H55" s="1"/>
      <c r="I55" s="2"/>
      <c r="J55" s="63"/>
      <c r="K55" s="63"/>
      <c r="L55" s="63"/>
      <c r="M55" s="3"/>
      <c r="N55" s="3"/>
      <c r="O55" s="3"/>
    </row>
    <row r="56" spans="3:15" ht="24.75" customHeight="1">
      <c r="C56" s="1"/>
      <c r="D56" s="1"/>
      <c r="E56" s="1"/>
      <c r="F56" s="1"/>
      <c r="G56" s="1"/>
      <c r="H56" s="1"/>
      <c r="I56" s="2"/>
      <c r="J56" s="63"/>
      <c r="K56" s="63"/>
      <c r="L56" s="63"/>
      <c r="M56" s="3"/>
      <c r="N56" s="3"/>
      <c r="O56" s="3"/>
    </row>
    <row r="57" spans="3:15" ht="24.75" customHeight="1">
      <c r="C57" s="1"/>
      <c r="D57" s="1"/>
      <c r="E57" s="1"/>
      <c r="F57" s="1"/>
      <c r="G57" s="1"/>
      <c r="H57" s="1"/>
      <c r="I57" s="2"/>
      <c r="J57" s="63"/>
      <c r="K57" s="63"/>
      <c r="L57" s="63"/>
      <c r="M57" s="3"/>
      <c r="N57" s="3"/>
      <c r="O57" s="3"/>
    </row>
    <row r="58" spans="3:15" ht="24.75" customHeight="1">
      <c r="C58" s="1"/>
      <c r="D58" s="1"/>
      <c r="E58" s="1"/>
      <c r="F58" s="1"/>
      <c r="G58" s="1"/>
      <c r="H58" s="1"/>
      <c r="I58" s="2"/>
      <c r="J58" s="63"/>
      <c r="K58" s="63"/>
      <c r="L58" s="63"/>
      <c r="M58" s="3"/>
      <c r="N58" s="3"/>
      <c r="O58" s="3"/>
    </row>
    <row r="59" spans="3:15" ht="24.75" customHeight="1">
      <c r="C59" s="1"/>
      <c r="D59" s="1"/>
      <c r="E59" s="1"/>
      <c r="F59" s="1"/>
      <c r="G59" s="1"/>
      <c r="H59" s="1"/>
      <c r="I59" s="2"/>
      <c r="J59" s="63"/>
      <c r="K59" s="63"/>
      <c r="L59" s="63"/>
      <c r="M59" s="3"/>
      <c r="N59" s="3"/>
      <c r="O59" s="3"/>
    </row>
    <row r="60" spans="3:15" ht="24.75" customHeight="1">
      <c r="C60" s="1"/>
      <c r="D60" s="1"/>
      <c r="E60" s="1"/>
      <c r="F60" s="1"/>
      <c r="G60" s="1"/>
      <c r="H60" s="1"/>
      <c r="I60" s="2"/>
      <c r="J60" s="63"/>
      <c r="K60" s="63"/>
      <c r="L60" s="63"/>
      <c r="M60" s="3"/>
      <c r="N60" s="3"/>
      <c r="O60" s="3"/>
    </row>
    <row r="61" spans="3:15" ht="24.75" customHeight="1">
      <c r="C61" s="1"/>
      <c r="D61" s="1"/>
      <c r="E61" s="1"/>
      <c r="F61" s="1"/>
      <c r="G61" s="1"/>
      <c r="H61" s="1"/>
      <c r="I61" s="2"/>
      <c r="J61" s="63"/>
      <c r="K61" s="63"/>
      <c r="L61" s="63"/>
    </row>
    <row r="62" spans="3:15" ht="24.75" customHeight="1">
      <c r="C62" s="1"/>
      <c r="D62" s="1"/>
      <c r="E62" s="1"/>
      <c r="F62" s="1"/>
      <c r="G62" s="1"/>
      <c r="H62" s="1"/>
      <c r="I62" s="2"/>
      <c r="J62" s="63"/>
      <c r="K62" s="63"/>
      <c r="L62" s="63"/>
    </row>
    <row r="63" spans="3:15" ht="24.75" customHeight="1">
      <c r="C63" s="1"/>
      <c r="D63" s="1"/>
      <c r="E63" s="1"/>
      <c r="F63" s="1"/>
      <c r="G63" s="1"/>
      <c r="H63" s="1"/>
      <c r="I63" s="2"/>
      <c r="J63" s="63"/>
      <c r="K63" s="63"/>
      <c r="L63" s="63"/>
    </row>
    <row r="64" spans="3:15" ht="24.75" customHeight="1">
      <c r="C64" s="1"/>
      <c r="D64" s="1"/>
      <c r="E64" s="1"/>
      <c r="F64" s="1"/>
      <c r="G64" s="1"/>
      <c r="H64" s="1"/>
      <c r="I64" s="2"/>
      <c r="J64" s="63"/>
      <c r="K64" s="63"/>
      <c r="L64" s="63"/>
    </row>
    <row r="65" spans="3:12" ht="24.75" customHeight="1">
      <c r="C65" s="1"/>
      <c r="D65" s="1"/>
      <c r="E65" s="1"/>
      <c r="F65" s="1"/>
      <c r="G65" s="1"/>
      <c r="H65" s="1"/>
      <c r="I65" s="2"/>
      <c r="J65" s="63"/>
      <c r="K65" s="63"/>
      <c r="L65" s="63"/>
    </row>
    <row r="66" spans="3:12" ht="24.75" customHeight="1">
      <c r="C66" s="1"/>
      <c r="D66" s="1"/>
      <c r="E66" s="1"/>
      <c r="F66" s="1"/>
      <c r="G66" s="1"/>
      <c r="H66" s="1"/>
      <c r="I66" s="2"/>
      <c r="J66" s="63"/>
      <c r="K66" s="63"/>
      <c r="L66" s="63"/>
    </row>
    <row r="67" spans="3:12" ht="24.75" customHeight="1">
      <c r="C67" s="1"/>
      <c r="D67" s="1"/>
      <c r="E67" s="1"/>
      <c r="F67" s="1"/>
      <c r="G67" s="1"/>
      <c r="H67" s="1"/>
      <c r="I67" s="2"/>
      <c r="J67" s="63"/>
      <c r="K67" s="63"/>
      <c r="L67" s="63"/>
    </row>
    <row r="68" spans="3:12" ht="24.75" customHeight="1">
      <c r="C68" s="1"/>
      <c r="D68" s="1"/>
      <c r="E68" s="1"/>
      <c r="F68" s="1"/>
      <c r="G68" s="1"/>
      <c r="H68" s="1"/>
      <c r="I68" s="2"/>
      <c r="J68" s="63"/>
      <c r="K68" s="63"/>
      <c r="L68" s="63"/>
    </row>
    <row r="69" spans="3:12" ht="24.75" customHeight="1">
      <c r="C69" s="1"/>
      <c r="D69" s="1"/>
      <c r="E69" s="1"/>
      <c r="F69" s="1"/>
      <c r="G69" s="1"/>
      <c r="H69" s="1"/>
      <c r="I69" s="2"/>
      <c r="J69" s="63"/>
      <c r="K69" s="63"/>
      <c r="L69" s="63"/>
    </row>
    <row r="70" spans="3:12" ht="24.75" customHeight="1">
      <c r="C70" s="1"/>
      <c r="D70" s="1"/>
      <c r="E70" s="1"/>
      <c r="F70" s="1"/>
      <c r="G70" s="1"/>
      <c r="H70" s="1"/>
      <c r="I70" s="2"/>
      <c r="J70" s="63"/>
      <c r="K70" s="63"/>
      <c r="L70" s="63"/>
    </row>
    <row r="71" spans="3:12" ht="24.75" customHeight="1">
      <c r="C71" s="1"/>
      <c r="D71" s="1"/>
      <c r="E71" s="1"/>
      <c r="F71" s="1"/>
      <c r="G71" s="1"/>
      <c r="H71" s="1"/>
      <c r="I71" s="2"/>
      <c r="J71" s="63"/>
      <c r="K71" s="63"/>
      <c r="L71" s="63"/>
    </row>
    <row r="72" spans="3:12" ht="24.75" customHeight="1">
      <c r="C72" s="1"/>
      <c r="D72" s="1"/>
      <c r="E72" s="1"/>
      <c r="F72" s="1"/>
      <c r="G72" s="1"/>
      <c r="H72" s="1"/>
      <c r="I72" s="2"/>
      <c r="J72" s="63"/>
      <c r="K72" s="63"/>
      <c r="L72" s="63"/>
    </row>
    <row r="73" spans="3:12" ht="24.75" customHeight="1">
      <c r="C73" s="1"/>
      <c r="D73" s="1"/>
      <c r="E73" s="1"/>
      <c r="F73" s="1"/>
      <c r="G73" s="1"/>
      <c r="H73" s="1"/>
      <c r="I73" s="2"/>
      <c r="J73" s="63"/>
      <c r="K73" s="63"/>
      <c r="L73" s="63"/>
    </row>
    <row r="74" spans="3:12" ht="24.75" customHeight="1">
      <c r="C74" s="1"/>
      <c r="D74" s="1"/>
      <c r="E74" s="1"/>
      <c r="F74" s="1"/>
      <c r="G74" s="1"/>
      <c r="H74" s="1"/>
      <c r="I74" s="2"/>
      <c r="J74" s="63"/>
      <c r="K74" s="63"/>
      <c r="L74" s="63"/>
    </row>
    <row r="75" spans="3:12" ht="24.75" customHeight="1">
      <c r="C75" s="1"/>
      <c r="D75" s="1"/>
      <c r="E75" s="1"/>
      <c r="F75" s="1"/>
      <c r="G75" s="1"/>
      <c r="H75" s="1"/>
      <c r="I75" s="2"/>
      <c r="J75" s="63"/>
      <c r="K75" s="63"/>
      <c r="L75" s="63"/>
    </row>
    <row r="76" spans="3:12" ht="24.75" customHeight="1">
      <c r="C76" s="1"/>
      <c r="D76" s="1"/>
      <c r="E76" s="1"/>
      <c r="F76" s="1"/>
      <c r="G76" s="1"/>
      <c r="H76" s="1"/>
      <c r="I76" s="2"/>
      <c r="J76" s="63"/>
      <c r="K76" s="63"/>
      <c r="L76" s="63"/>
    </row>
    <row r="77" spans="3:12" ht="24.75" customHeight="1">
      <c r="C77" s="1"/>
      <c r="D77" s="1"/>
      <c r="E77" s="1"/>
      <c r="F77" s="1"/>
      <c r="G77" s="1"/>
      <c r="H77" s="1"/>
      <c r="I77" s="2"/>
      <c r="J77" s="63"/>
      <c r="K77" s="63"/>
      <c r="L77" s="63"/>
    </row>
    <row r="78" spans="3:12" ht="24.75" customHeight="1">
      <c r="C78" s="1"/>
      <c r="D78" s="1"/>
      <c r="E78" s="1"/>
      <c r="F78" s="1"/>
      <c r="G78" s="1"/>
      <c r="H78" s="1"/>
      <c r="I78" s="2"/>
      <c r="J78" s="63"/>
      <c r="K78" s="63"/>
      <c r="L78" s="63"/>
    </row>
    <row r="79" spans="3:12" ht="24.75" customHeight="1">
      <c r="C79" s="1"/>
      <c r="D79" s="1"/>
      <c r="E79" s="1"/>
      <c r="F79" s="1"/>
      <c r="G79" s="1"/>
      <c r="H79" s="1"/>
      <c r="I79" s="2"/>
      <c r="J79" s="63"/>
      <c r="K79" s="63"/>
      <c r="L79" s="63"/>
    </row>
    <row r="80" spans="3:12" ht="24.75" customHeight="1">
      <c r="C80" s="1"/>
      <c r="D80" s="1"/>
      <c r="E80" s="1"/>
      <c r="F80" s="1"/>
      <c r="G80" s="1"/>
      <c r="H80" s="1"/>
      <c r="I80" s="2"/>
      <c r="J80" s="63"/>
      <c r="K80" s="63"/>
      <c r="L80" s="63"/>
    </row>
    <row r="81" spans="3:12" ht="24.75" customHeight="1">
      <c r="C81" s="1"/>
      <c r="D81" s="1"/>
      <c r="E81" s="1"/>
      <c r="F81" s="1"/>
      <c r="G81" s="1"/>
      <c r="H81" s="1"/>
      <c r="I81" s="2"/>
      <c r="J81" s="63"/>
      <c r="K81" s="63"/>
      <c r="L81" s="63"/>
    </row>
    <row r="82" spans="3:12" ht="24.75" customHeight="1">
      <c r="C82" s="1"/>
      <c r="D82" s="1"/>
      <c r="E82" s="1"/>
      <c r="F82" s="1"/>
      <c r="G82" s="1"/>
      <c r="H82" s="1"/>
      <c r="I82" s="2"/>
      <c r="J82" s="63"/>
      <c r="K82" s="63"/>
      <c r="L82" s="63"/>
    </row>
    <row r="83" spans="3:12" ht="24.75" customHeight="1">
      <c r="C83" s="1"/>
      <c r="D83" s="1"/>
      <c r="E83" s="1"/>
      <c r="F83" s="1"/>
      <c r="G83" s="1"/>
      <c r="H83" s="1"/>
      <c r="I83" s="2"/>
      <c r="J83" s="63"/>
      <c r="K83" s="63"/>
      <c r="L83" s="63"/>
    </row>
    <row r="84" spans="3:12" ht="24.75" customHeight="1">
      <c r="C84" s="1"/>
      <c r="D84" s="1"/>
      <c r="E84" s="1"/>
      <c r="F84" s="1"/>
      <c r="G84" s="1"/>
      <c r="H84" s="1"/>
      <c r="I84" s="2"/>
      <c r="J84" s="63"/>
      <c r="K84" s="63"/>
      <c r="L84" s="63"/>
    </row>
    <row r="85" spans="3:12" ht="24.75" customHeight="1">
      <c r="C85" s="1"/>
      <c r="D85" s="1"/>
      <c r="E85" s="1"/>
      <c r="F85" s="1"/>
      <c r="G85" s="1"/>
      <c r="H85" s="1"/>
      <c r="I85" s="2"/>
      <c r="J85" s="63"/>
      <c r="K85" s="63"/>
      <c r="L85" s="63"/>
    </row>
    <row r="86" spans="3:12" ht="24.75" customHeight="1">
      <c r="C86" s="1"/>
      <c r="D86" s="1"/>
      <c r="E86" s="1"/>
      <c r="F86" s="1"/>
      <c r="G86" s="1"/>
      <c r="H86" s="1"/>
      <c r="I86" s="2"/>
      <c r="J86" s="63"/>
      <c r="K86" s="63"/>
      <c r="L86" s="63"/>
    </row>
    <row r="87" spans="3:12" ht="24.75" customHeight="1">
      <c r="C87" s="1"/>
      <c r="D87" s="1"/>
      <c r="E87" s="1"/>
      <c r="F87" s="1"/>
      <c r="G87" s="1"/>
      <c r="H87" s="1"/>
      <c r="I87" s="2"/>
      <c r="J87" s="63"/>
      <c r="K87" s="63"/>
      <c r="L87" s="63"/>
    </row>
    <row r="88" spans="3:12" ht="24.75" customHeight="1">
      <c r="C88" s="1"/>
      <c r="D88" s="1"/>
      <c r="E88" s="1"/>
      <c r="F88" s="1"/>
      <c r="G88" s="1"/>
      <c r="H88" s="1"/>
      <c r="I88" s="2"/>
      <c r="J88" s="63"/>
      <c r="K88" s="63"/>
      <c r="L88" s="63"/>
    </row>
    <row r="89" spans="3:12" ht="24.75" customHeight="1">
      <c r="C89" s="1"/>
      <c r="D89" s="1"/>
      <c r="E89" s="1"/>
      <c r="F89" s="1"/>
      <c r="G89" s="1"/>
      <c r="H89" s="1"/>
      <c r="I89" s="2"/>
      <c r="J89" s="63"/>
      <c r="K89" s="63"/>
      <c r="L89" s="63"/>
    </row>
    <row r="90" spans="3:12" ht="24.75" customHeight="1">
      <c r="C90" s="1"/>
      <c r="D90" s="1"/>
      <c r="E90" s="1"/>
      <c r="F90" s="1"/>
      <c r="G90" s="1"/>
      <c r="H90" s="1"/>
      <c r="I90" s="2"/>
      <c r="J90" s="63"/>
      <c r="K90" s="63"/>
      <c r="L90" s="63"/>
    </row>
    <row r="91" spans="3:12" ht="24.75" customHeight="1">
      <c r="C91" s="1"/>
      <c r="D91" s="1"/>
      <c r="E91" s="1"/>
      <c r="F91" s="1"/>
      <c r="G91" s="1"/>
      <c r="H91" s="1"/>
      <c r="I91" s="2"/>
      <c r="J91" s="63"/>
      <c r="K91" s="63"/>
      <c r="L91" s="63"/>
    </row>
    <row r="92" spans="3:12" ht="24.75" customHeight="1">
      <c r="C92" s="1"/>
      <c r="D92" s="1"/>
      <c r="E92" s="1"/>
      <c r="F92" s="1"/>
      <c r="G92" s="1"/>
      <c r="H92" s="1"/>
      <c r="I92" s="2"/>
      <c r="J92" s="63"/>
      <c r="K92" s="63"/>
      <c r="L92" s="63"/>
    </row>
    <row r="93" spans="3:12" ht="24.75" customHeight="1">
      <c r="C93" s="1"/>
      <c r="D93" s="1"/>
      <c r="E93" s="1"/>
      <c r="F93" s="1"/>
      <c r="G93" s="1"/>
      <c r="H93" s="1"/>
      <c r="I93" s="2"/>
      <c r="J93" s="63"/>
      <c r="K93" s="63"/>
      <c r="L93" s="63"/>
    </row>
    <row r="94" spans="3:12" ht="24.75" customHeight="1">
      <c r="C94" s="1"/>
      <c r="D94" s="1"/>
      <c r="E94" s="1"/>
      <c r="F94" s="1"/>
      <c r="G94" s="1"/>
      <c r="H94" s="1"/>
      <c r="I94" s="2"/>
      <c r="J94" s="63"/>
      <c r="K94" s="63"/>
      <c r="L94" s="63"/>
    </row>
    <row r="95" spans="3:12" ht="24.75" customHeight="1">
      <c r="C95" s="1"/>
      <c r="D95" s="1"/>
      <c r="E95" s="1"/>
      <c r="F95" s="1"/>
      <c r="G95" s="1"/>
      <c r="H95" s="1"/>
      <c r="I95" s="2"/>
      <c r="J95" s="63"/>
      <c r="K95" s="63"/>
      <c r="L95" s="63"/>
    </row>
    <row r="96" spans="3:12" ht="24.75" customHeight="1">
      <c r="C96" s="1"/>
      <c r="D96" s="1"/>
      <c r="E96" s="1"/>
      <c r="F96" s="1"/>
      <c r="G96" s="1"/>
      <c r="H96" s="1"/>
      <c r="I96" s="2"/>
      <c r="J96" s="63"/>
      <c r="K96" s="63"/>
      <c r="L96" s="63"/>
    </row>
    <row r="97" spans="3:12" ht="24.75" customHeight="1">
      <c r="C97" s="1"/>
      <c r="D97" s="1"/>
      <c r="E97" s="1"/>
      <c r="F97" s="1"/>
      <c r="G97" s="1"/>
      <c r="H97" s="1"/>
      <c r="I97" s="2"/>
      <c r="J97" s="63"/>
      <c r="K97" s="63"/>
      <c r="L97" s="63"/>
    </row>
    <row r="98" spans="3:12" ht="24.75" customHeight="1">
      <c r="C98" s="1"/>
      <c r="D98" s="1"/>
      <c r="E98" s="1"/>
      <c r="F98" s="1"/>
      <c r="G98" s="1"/>
      <c r="H98" s="1"/>
      <c r="I98" s="2"/>
      <c r="J98" s="63"/>
      <c r="K98" s="63"/>
      <c r="L98" s="63"/>
    </row>
    <row r="99" spans="3:12" ht="24.75" customHeight="1">
      <c r="C99" s="1"/>
      <c r="D99" s="1"/>
      <c r="E99" s="1"/>
      <c r="F99" s="1"/>
      <c r="G99" s="1"/>
      <c r="H99" s="1"/>
      <c r="I99" s="2"/>
      <c r="J99" s="63"/>
      <c r="K99" s="63"/>
      <c r="L99" s="63"/>
    </row>
    <row r="100" spans="3:12" ht="24.75" customHeight="1">
      <c r="C100" s="1"/>
      <c r="D100" s="1"/>
      <c r="E100" s="1"/>
      <c r="F100" s="1"/>
      <c r="G100" s="1"/>
      <c r="H100" s="1"/>
      <c r="I100" s="2"/>
      <c r="J100" s="63"/>
      <c r="K100" s="63"/>
      <c r="L100" s="63"/>
    </row>
    <row r="101" spans="3:12" ht="24.75" customHeight="1">
      <c r="C101" s="1"/>
      <c r="D101" s="1"/>
      <c r="E101" s="1"/>
      <c r="F101" s="1"/>
      <c r="G101" s="1"/>
      <c r="H101" s="1"/>
      <c r="I101" s="2"/>
      <c r="J101" s="63"/>
      <c r="K101" s="63"/>
      <c r="L101" s="63"/>
    </row>
    <row r="102" spans="3:12" ht="24.75" customHeight="1">
      <c r="C102" s="1"/>
      <c r="D102" s="1"/>
      <c r="E102" s="1"/>
      <c r="F102" s="1"/>
      <c r="G102" s="1"/>
      <c r="H102" s="1"/>
      <c r="I102" s="2"/>
      <c r="J102" s="63"/>
      <c r="K102" s="63"/>
      <c r="L102" s="63"/>
    </row>
    <row r="103" spans="3:12" ht="24.75" customHeight="1">
      <c r="C103" s="1"/>
      <c r="D103" s="1"/>
      <c r="E103" s="1"/>
      <c r="F103" s="1"/>
      <c r="G103" s="1"/>
      <c r="H103" s="1"/>
      <c r="I103" s="2"/>
      <c r="J103" s="63"/>
      <c r="K103" s="63"/>
      <c r="L103" s="63"/>
    </row>
    <row r="104" spans="3:12" ht="24.75" customHeight="1">
      <c r="C104" s="1"/>
      <c r="D104" s="1"/>
      <c r="E104" s="1"/>
      <c r="F104" s="1"/>
      <c r="G104" s="1"/>
      <c r="H104" s="1"/>
      <c r="I104" s="2"/>
      <c r="J104" s="63"/>
      <c r="K104" s="63"/>
      <c r="L104" s="63"/>
    </row>
    <row r="105" spans="3:12" ht="24.75" customHeight="1">
      <c r="C105" s="1"/>
      <c r="D105" s="1"/>
      <c r="E105" s="1"/>
      <c r="F105" s="1"/>
      <c r="G105" s="1"/>
      <c r="H105" s="1"/>
      <c r="I105" s="2"/>
      <c r="J105" s="63"/>
      <c r="K105" s="63"/>
      <c r="L105" s="63"/>
    </row>
    <row r="106" spans="3:12" ht="24.75" customHeight="1">
      <c r="C106" s="1"/>
      <c r="D106" s="1"/>
      <c r="E106" s="1"/>
      <c r="F106" s="1"/>
      <c r="G106" s="1"/>
      <c r="H106" s="1"/>
      <c r="I106" s="2"/>
      <c r="J106" s="63"/>
      <c r="K106" s="63"/>
      <c r="L106" s="63"/>
    </row>
    <row r="107" spans="3:12" ht="24.75" customHeight="1">
      <c r="C107" s="1"/>
      <c r="D107" s="1"/>
      <c r="E107" s="1"/>
      <c r="F107" s="1"/>
      <c r="G107" s="1"/>
      <c r="H107" s="1"/>
      <c r="I107" s="2"/>
      <c r="J107" s="63"/>
      <c r="K107" s="63"/>
      <c r="L107" s="63"/>
    </row>
    <row r="108" spans="3:12" ht="24.75" customHeight="1">
      <c r="C108" s="1"/>
      <c r="D108" s="1"/>
      <c r="E108" s="1"/>
      <c r="F108" s="1"/>
      <c r="G108" s="1"/>
      <c r="H108" s="1"/>
      <c r="I108" s="2"/>
      <c r="J108" s="63"/>
      <c r="K108" s="63"/>
      <c r="L108" s="63"/>
    </row>
    <row r="109" spans="3:12" ht="24.75" customHeight="1">
      <c r="C109" s="1"/>
      <c r="D109" s="1"/>
      <c r="E109" s="1"/>
      <c r="F109" s="1"/>
      <c r="G109" s="1"/>
      <c r="H109" s="1"/>
      <c r="I109" s="2"/>
      <c r="J109" s="63"/>
      <c r="K109" s="63"/>
      <c r="L109" s="63"/>
    </row>
    <row r="110" spans="3:12" ht="24.75" customHeight="1">
      <c r="C110" s="1"/>
      <c r="D110" s="1"/>
      <c r="E110" s="1"/>
      <c r="F110" s="1"/>
      <c r="G110" s="1"/>
      <c r="H110" s="1"/>
      <c r="I110" s="2"/>
      <c r="J110" s="63"/>
      <c r="K110" s="63"/>
      <c r="L110" s="63"/>
    </row>
    <row r="111" spans="3:12" ht="24.75" customHeight="1">
      <c r="C111" s="1"/>
      <c r="D111" s="1"/>
      <c r="E111" s="1"/>
      <c r="F111" s="1"/>
      <c r="G111" s="1"/>
      <c r="H111" s="1"/>
      <c r="I111" s="2"/>
      <c r="J111" s="63"/>
      <c r="K111" s="63"/>
      <c r="L111" s="63"/>
    </row>
    <row r="112" spans="3:12" ht="24.75" customHeight="1">
      <c r="C112" s="1"/>
      <c r="D112" s="1"/>
      <c r="E112" s="1"/>
      <c r="F112" s="1"/>
      <c r="G112" s="1"/>
      <c r="H112" s="1"/>
      <c r="I112" s="2"/>
      <c r="J112" s="63"/>
      <c r="K112" s="63"/>
      <c r="L112" s="63"/>
    </row>
    <row r="113" spans="3:19" ht="15.75" customHeight="1">
      <c r="C113" s="1"/>
      <c r="I113" s="2"/>
      <c r="J113" s="63"/>
      <c r="K113" s="63"/>
      <c r="L113" s="63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63"/>
      <c r="K114" s="63"/>
      <c r="L114" s="63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63"/>
      <c r="K115" s="63"/>
      <c r="L115" s="63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63"/>
      <c r="K116" s="63"/>
      <c r="L116" s="63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63"/>
      <c r="K117" s="63"/>
      <c r="L117" s="63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63"/>
      <c r="K118" s="63"/>
      <c r="L118" s="63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63"/>
      <c r="K119" s="63"/>
      <c r="L119" s="63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63"/>
      <c r="K120" s="63"/>
      <c r="L120" s="63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63"/>
      <c r="K121" s="63"/>
      <c r="L121" s="63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63"/>
      <c r="K122" s="63"/>
      <c r="L122" s="63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63"/>
      <c r="K123" s="63"/>
      <c r="L123" s="63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63"/>
      <c r="K124" s="63"/>
      <c r="L124" s="63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63"/>
      <c r="K125" s="63"/>
      <c r="L125" s="63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63"/>
      <c r="K126" s="63"/>
      <c r="L126" s="63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63"/>
      <c r="K127" s="63"/>
      <c r="L127" s="63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63"/>
      <c r="K128" s="63"/>
      <c r="L128" s="63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63"/>
      <c r="K129" s="63"/>
      <c r="L129" s="63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63"/>
      <c r="K130" s="63"/>
      <c r="L130" s="63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63"/>
      <c r="K131" s="63"/>
      <c r="L131" s="63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63"/>
      <c r="K132" s="63"/>
      <c r="L132" s="63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63"/>
      <c r="K133" s="63"/>
      <c r="L133" s="63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63"/>
      <c r="K134" s="63"/>
      <c r="L134" s="63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63"/>
      <c r="K135" s="63"/>
      <c r="L135" s="63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63"/>
      <c r="K136" s="63"/>
      <c r="L136" s="63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63"/>
      <c r="K137" s="63"/>
      <c r="L137" s="63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63"/>
      <c r="K138" s="63"/>
      <c r="L138" s="63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63"/>
      <c r="K139" s="63"/>
      <c r="L139" s="63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63"/>
      <c r="K140" s="63"/>
      <c r="L140" s="63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63"/>
      <c r="K141" s="63"/>
      <c r="L141" s="63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63"/>
      <c r="K142" s="63"/>
      <c r="L142" s="63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63"/>
      <c r="K143" s="63"/>
      <c r="L143" s="63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63"/>
      <c r="K144" s="63"/>
      <c r="L144" s="63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63"/>
      <c r="K145" s="63"/>
      <c r="L145" s="63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63"/>
      <c r="K146" s="63"/>
      <c r="L146" s="63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63"/>
      <c r="K147" s="63"/>
      <c r="L147" s="63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63"/>
      <c r="K148" s="63"/>
      <c r="L148" s="63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63"/>
      <c r="K149" s="63"/>
      <c r="L149" s="63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63"/>
      <c r="K150" s="63"/>
      <c r="L150" s="63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63"/>
      <c r="K151" s="63"/>
      <c r="L151" s="63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63"/>
      <c r="K152" s="63"/>
      <c r="L152" s="63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63"/>
      <c r="K153" s="63"/>
      <c r="L153" s="63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63"/>
      <c r="K154" s="63"/>
      <c r="L154" s="63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63"/>
      <c r="K155" s="63"/>
      <c r="L155" s="63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63"/>
      <c r="K156" s="63"/>
      <c r="L156" s="63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63"/>
      <c r="K157" s="63"/>
      <c r="L157" s="63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63"/>
      <c r="K158" s="63"/>
      <c r="L158" s="63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63"/>
      <c r="K159" s="63"/>
      <c r="L159" s="63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63"/>
      <c r="K160" s="63"/>
      <c r="L160" s="63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63"/>
      <c r="K161" s="63"/>
      <c r="L161" s="63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63"/>
      <c r="K162" s="63"/>
      <c r="L162" s="63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63"/>
      <c r="K163" s="63"/>
      <c r="L163" s="63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63"/>
      <c r="K164" s="63"/>
      <c r="L164" s="63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63"/>
      <c r="K165" s="63"/>
      <c r="L165" s="63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63"/>
      <c r="K166" s="63"/>
      <c r="L166" s="63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63"/>
      <c r="K167" s="63"/>
      <c r="L167" s="63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63"/>
      <c r="K168" s="63"/>
      <c r="L168" s="63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63"/>
      <c r="K169" s="63"/>
      <c r="L169" s="63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63"/>
      <c r="K170" s="63"/>
      <c r="L170" s="63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63"/>
      <c r="K171" s="63"/>
      <c r="L171" s="63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63"/>
      <c r="K172" s="63"/>
      <c r="L172" s="63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63"/>
      <c r="K173" s="63"/>
      <c r="L173" s="63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63"/>
      <c r="K174" s="63"/>
      <c r="L174" s="63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63"/>
      <c r="K175" s="63"/>
      <c r="L175" s="63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63"/>
      <c r="K176" s="63"/>
      <c r="L176" s="63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63"/>
      <c r="K177" s="63"/>
      <c r="L177" s="63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63"/>
      <c r="K178" s="63"/>
      <c r="L178" s="63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63"/>
      <c r="K179" s="63"/>
      <c r="L179" s="63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63"/>
      <c r="K180" s="63"/>
      <c r="L180" s="63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63"/>
      <c r="K181" s="63"/>
      <c r="L181" s="63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63"/>
      <c r="K182" s="63"/>
      <c r="L182" s="63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63"/>
      <c r="K183" s="63"/>
      <c r="L183" s="63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63"/>
      <c r="K184" s="63"/>
      <c r="L184" s="63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63"/>
      <c r="K185" s="63"/>
      <c r="L185" s="63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63"/>
      <c r="K186" s="63"/>
      <c r="L186" s="63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63"/>
      <c r="K187" s="63"/>
      <c r="L187" s="63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63"/>
      <c r="K188" s="63"/>
      <c r="L188" s="63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63"/>
      <c r="K189" s="63"/>
      <c r="L189" s="63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63"/>
      <c r="K190" s="63"/>
      <c r="L190" s="63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63"/>
      <c r="K191" s="63"/>
      <c r="L191" s="63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63"/>
      <c r="K192" s="63"/>
      <c r="L192" s="63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63"/>
      <c r="K193" s="63"/>
      <c r="L193" s="63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63"/>
      <c r="K194" s="63"/>
      <c r="L194" s="63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63"/>
      <c r="K195" s="63"/>
      <c r="L195" s="63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63"/>
      <c r="K196" s="63"/>
      <c r="L196" s="63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63"/>
      <c r="K197" s="63"/>
      <c r="L197" s="63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63"/>
      <c r="K198" s="63"/>
      <c r="L198" s="63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63"/>
      <c r="K199" s="63"/>
      <c r="L199" s="63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63"/>
      <c r="K200" s="63"/>
      <c r="L200" s="63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63"/>
      <c r="K201" s="63"/>
      <c r="L201" s="63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63"/>
      <c r="K202" s="63"/>
      <c r="L202" s="63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63"/>
      <c r="K203" s="63"/>
      <c r="L203" s="63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63"/>
      <c r="K204" s="63"/>
      <c r="L204" s="63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63"/>
      <c r="K205" s="63"/>
      <c r="L205" s="63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63"/>
      <c r="K206" s="63"/>
      <c r="L206" s="63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63"/>
      <c r="K207" s="63"/>
      <c r="L207" s="63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63"/>
      <c r="K208" s="63"/>
      <c r="L208" s="63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63"/>
      <c r="K209" s="63"/>
      <c r="L209" s="63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63"/>
      <c r="K210" s="63"/>
      <c r="L210" s="63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63"/>
      <c r="K211" s="63"/>
      <c r="L211" s="63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63"/>
      <c r="K212" s="63"/>
      <c r="L212" s="63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63"/>
      <c r="K213" s="63"/>
      <c r="L213" s="63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63"/>
      <c r="K214" s="63"/>
      <c r="L214" s="63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63"/>
      <c r="K215" s="63"/>
      <c r="L215" s="63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63"/>
      <c r="K216" s="63"/>
      <c r="L216" s="63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63"/>
      <c r="K217" s="63"/>
      <c r="L217" s="63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63"/>
      <c r="K218" s="63"/>
      <c r="L218" s="63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63"/>
      <c r="K219" s="63"/>
      <c r="L219" s="63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63"/>
      <c r="K220" s="63"/>
      <c r="L220" s="63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63"/>
      <c r="K221" s="63"/>
      <c r="L221" s="63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63"/>
      <c r="K222" s="63"/>
      <c r="L222" s="63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63"/>
      <c r="K223" s="63"/>
      <c r="L223" s="63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63"/>
      <c r="K224" s="63"/>
      <c r="L224" s="63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63"/>
      <c r="K225" s="63"/>
      <c r="L225" s="63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63"/>
      <c r="K226" s="63"/>
      <c r="L226" s="63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63"/>
      <c r="K227" s="63"/>
      <c r="L227" s="63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63"/>
      <c r="K228" s="63"/>
      <c r="L228" s="63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63"/>
      <c r="K229" s="63"/>
      <c r="L229" s="63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63"/>
      <c r="K230" s="63"/>
      <c r="L230" s="63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63"/>
      <c r="K231" s="63"/>
      <c r="L231" s="63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63"/>
      <c r="K232" s="63"/>
      <c r="L232" s="63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63"/>
      <c r="K233" s="63"/>
      <c r="L233" s="63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63"/>
      <c r="K234" s="63"/>
      <c r="L234" s="63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63"/>
      <c r="K235" s="63"/>
      <c r="L235" s="63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63"/>
      <c r="K236" s="63"/>
      <c r="L236" s="63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63"/>
      <c r="K237" s="63"/>
      <c r="L237" s="63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63"/>
      <c r="K238" s="63"/>
      <c r="L238" s="63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63"/>
      <c r="K239" s="63"/>
      <c r="L239" s="63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63"/>
      <c r="K240" s="63"/>
      <c r="L240" s="63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63"/>
      <c r="K241" s="63"/>
      <c r="L241" s="63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63"/>
      <c r="K242" s="63"/>
      <c r="L242" s="63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63"/>
      <c r="K243" s="63"/>
      <c r="L243" s="63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63"/>
      <c r="K244" s="63"/>
      <c r="L244" s="63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63"/>
      <c r="K245" s="63"/>
      <c r="L245" s="63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63"/>
      <c r="K246" s="63"/>
      <c r="L246" s="63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63"/>
      <c r="K247" s="63"/>
      <c r="L247" s="63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63"/>
      <c r="K248" s="63"/>
      <c r="L248" s="63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63"/>
      <c r="K249" s="63"/>
      <c r="L249" s="63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63"/>
      <c r="K250" s="63"/>
      <c r="L250" s="63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63"/>
      <c r="K251" s="63"/>
      <c r="L251" s="63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63"/>
      <c r="K252" s="63"/>
      <c r="L252" s="63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63"/>
      <c r="K253" s="63"/>
      <c r="L253" s="63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63"/>
      <c r="K254" s="63"/>
      <c r="L254" s="63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63"/>
      <c r="K255" s="63"/>
      <c r="L255" s="63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63"/>
      <c r="K256" s="63"/>
      <c r="L256" s="63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63"/>
      <c r="K257" s="63"/>
      <c r="L257" s="63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63"/>
      <c r="K258" s="63"/>
      <c r="L258" s="63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63"/>
      <c r="K259" s="63"/>
      <c r="L259" s="63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63"/>
      <c r="K260" s="63"/>
      <c r="L260" s="63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63"/>
      <c r="K261" s="63"/>
      <c r="L261" s="63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63"/>
      <c r="K262" s="63"/>
      <c r="L262" s="63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63"/>
      <c r="K263" s="63"/>
      <c r="L263" s="63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63"/>
      <c r="K264" s="63"/>
      <c r="L264" s="63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63"/>
      <c r="K265" s="63"/>
      <c r="L265" s="63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63"/>
      <c r="K266" s="63"/>
      <c r="L266" s="63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63"/>
      <c r="K267" s="63"/>
      <c r="L267" s="63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63"/>
      <c r="K268" s="63"/>
      <c r="L268" s="63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63"/>
      <c r="K269" s="63"/>
      <c r="L269" s="63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63"/>
      <c r="K270" s="63"/>
      <c r="L270" s="63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63"/>
      <c r="K271" s="63"/>
      <c r="L271" s="63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63"/>
      <c r="K272" s="63"/>
      <c r="L272" s="63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63"/>
      <c r="K273" s="63"/>
      <c r="L273" s="63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63"/>
      <c r="K274" s="63"/>
      <c r="L274" s="63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63"/>
      <c r="K275" s="63"/>
      <c r="L275" s="63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63"/>
      <c r="K276" s="63"/>
      <c r="L276" s="63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63"/>
      <c r="K277" s="63"/>
      <c r="L277" s="63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63"/>
      <c r="K278" s="63"/>
      <c r="L278" s="63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63"/>
      <c r="K279" s="63"/>
      <c r="L279" s="63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63"/>
      <c r="K280" s="63"/>
      <c r="L280" s="63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63"/>
      <c r="K281" s="63"/>
      <c r="L281" s="63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63"/>
      <c r="K282" s="63"/>
      <c r="L282" s="63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63"/>
      <c r="K283" s="63"/>
      <c r="L283" s="63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63"/>
      <c r="K284" s="63"/>
      <c r="L284" s="63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63"/>
      <c r="K285" s="63"/>
      <c r="L285" s="63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63"/>
      <c r="K286" s="63"/>
      <c r="L286" s="63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63"/>
      <c r="K287" s="63"/>
      <c r="L287" s="63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63"/>
      <c r="K288" s="63"/>
      <c r="L288" s="63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63"/>
      <c r="K289" s="63"/>
      <c r="L289" s="63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63"/>
      <c r="K290" s="63"/>
      <c r="L290" s="63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63"/>
      <c r="K291" s="63"/>
      <c r="L291" s="63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63"/>
      <c r="K292" s="63"/>
      <c r="L292" s="63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63"/>
      <c r="K293" s="63"/>
      <c r="L293" s="63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63"/>
      <c r="K294" s="63"/>
      <c r="L294" s="63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63"/>
      <c r="K295" s="63"/>
      <c r="L295" s="63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63"/>
      <c r="K296" s="63"/>
      <c r="L296" s="63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63"/>
      <c r="K297" s="63"/>
      <c r="L297" s="63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63"/>
      <c r="K298" s="63"/>
      <c r="L298" s="63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63"/>
      <c r="K299" s="63"/>
      <c r="L299" s="63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63"/>
      <c r="K300" s="63"/>
      <c r="L300" s="63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63"/>
      <c r="K301" s="63"/>
      <c r="L301" s="63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63"/>
      <c r="K302" s="63"/>
      <c r="L302" s="63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63"/>
      <c r="K303" s="63"/>
      <c r="L303" s="63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63"/>
      <c r="K304" s="63"/>
      <c r="L304" s="63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63"/>
      <c r="K305" s="63"/>
      <c r="L305" s="63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63"/>
      <c r="K306" s="63"/>
      <c r="L306" s="63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63"/>
      <c r="K307" s="63"/>
      <c r="L307" s="63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63"/>
      <c r="K308" s="63"/>
      <c r="L308" s="63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63"/>
      <c r="K309" s="63"/>
      <c r="L309" s="63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63"/>
      <c r="K310" s="63"/>
      <c r="L310" s="63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63"/>
      <c r="K311" s="63"/>
      <c r="L311" s="63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63"/>
      <c r="K312" s="63"/>
      <c r="L312" s="63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63"/>
      <c r="K313" s="63"/>
      <c r="L313" s="63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63"/>
      <c r="K314" s="63"/>
      <c r="L314" s="63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63"/>
      <c r="K315" s="63"/>
      <c r="L315" s="63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63"/>
      <c r="K316" s="63"/>
      <c r="L316" s="63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63"/>
      <c r="K317" s="63"/>
      <c r="L317" s="63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63"/>
      <c r="K318" s="63"/>
      <c r="L318" s="63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63"/>
      <c r="K319" s="63"/>
      <c r="L319" s="63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63"/>
      <c r="K320" s="63"/>
      <c r="L320" s="63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63"/>
      <c r="K321" s="63"/>
      <c r="L321" s="63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63"/>
      <c r="K322" s="63"/>
      <c r="L322" s="63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63"/>
      <c r="K323" s="63"/>
      <c r="L323" s="63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63"/>
      <c r="K324" s="63"/>
      <c r="L324" s="63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63"/>
      <c r="K325" s="63"/>
      <c r="L325" s="63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63"/>
      <c r="K326" s="63"/>
      <c r="L326" s="63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63"/>
      <c r="K327" s="63"/>
      <c r="L327" s="63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63"/>
      <c r="K328" s="63"/>
      <c r="L328" s="63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63"/>
      <c r="K329" s="63"/>
      <c r="L329" s="63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63"/>
      <c r="K330" s="63"/>
      <c r="L330" s="63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63"/>
      <c r="K331" s="63"/>
      <c r="L331" s="63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63"/>
      <c r="K332" s="63"/>
      <c r="L332" s="63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63"/>
      <c r="K333" s="63"/>
      <c r="L333" s="63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63"/>
      <c r="K334" s="63"/>
      <c r="L334" s="63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63"/>
      <c r="K335" s="63"/>
      <c r="L335" s="63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63"/>
      <c r="K336" s="63"/>
      <c r="L336" s="63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63"/>
      <c r="K337" s="63"/>
      <c r="L337" s="63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63"/>
      <c r="K338" s="63"/>
      <c r="L338" s="63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63"/>
      <c r="K339" s="63"/>
      <c r="L339" s="63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63"/>
      <c r="K340" s="63"/>
      <c r="L340" s="63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63"/>
      <c r="K341" s="63"/>
      <c r="L341" s="63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63"/>
      <c r="K342" s="63"/>
      <c r="L342" s="63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63"/>
      <c r="K343" s="63"/>
      <c r="L343" s="63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63"/>
      <c r="K344" s="63"/>
      <c r="L344" s="63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63"/>
      <c r="K345" s="63"/>
      <c r="L345" s="63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63"/>
      <c r="K346" s="63"/>
      <c r="L346" s="63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63"/>
      <c r="K347" s="63"/>
      <c r="L347" s="63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63"/>
      <c r="K348" s="63"/>
      <c r="L348" s="63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63"/>
      <c r="K349" s="63"/>
      <c r="L349" s="63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63"/>
      <c r="K350" s="63"/>
      <c r="L350" s="63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63"/>
      <c r="K351" s="63"/>
      <c r="L351" s="63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63"/>
      <c r="K352" s="63"/>
      <c r="L352" s="63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63"/>
      <c r="K353" s="63"/>
      <c r="L353" s="63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63"/>
      <c r="K354" s="63"/>
      <c r="L354" s="63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63"/>
      <c r="K355" s="63"/>
      <c r="L355" s="63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63"/>
      <c r="K356" s="63"/>
      <c r="L356" s="63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63"/>
      <c r="K357" s="63"/>
      <c r="L357" s="63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63"/>
      <c r="K358" s="63"/>
      <c r="L358" s="63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63"/>
      <c r="K359" s="63"/>
      <c r="L359" s="63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63"/>
      <c r="K360" s="63"/>
      <c r="L360" s="63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63"/>
      <c r="K361" s="63"/>
      <c r="L361" s="63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63"/>
      <c r="K362" s="63"/>
      <c r="L362" s="63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63"/>
      <c r="K363" s="63"/>
      <c r="L363" s="63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63"/>
      <c r="K364" s="63"/>
      <c r="L364" s="63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63"/>
      <c r="K365" s="63"/>
      <c r="L365" s="63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63"/>
      <c r="K366" s="63"/>
      <c r="L366" s="63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63"/>
      <c r="K367" s="63"/>
      <c r="L367" s="63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63"/>
      <c r="K368" s="63"/>
      <c r="L368" s="63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63"/>
      <c r="K369" s="63"/>
      <c r="L369" s="63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63"/>
      <c r="K370" s="63"/>
      <c r="L370" s="63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63"/>
      <c r="K371" s="63"/>
      <c r="L371" s="63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63"/>
      <c r="K372" s="63"/>
      <c r="L372" s="63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63"/>
      <c r="K373" s="63"/>
      <c r="L373" s="63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63"/>
      <c r="K374" s="63"/>
      <c r="L374" s="63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63"/>
      <c r="K375" s="63"/>
      <c r="L375" s="63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63"/>
      <c r="K376" s="63"/>
      <c r="L376" s="63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63"/>
      <c r="K377" s="63"/>
      <c r="L377" s="63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63"/>
      <c r="K378" s="63"/>
      <c r="L378" s="63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63"/>
      <c r="K379" s="63"/>
      <c r="L379" s="63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63"/>
      <c r="K380" s="63"/>
      <c r="L380" s="63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63"/>
      <c r="K381" s="63"/>
      <c r="L381" s="63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63"/>
      <c r="K382" s="63"/>
      <c r="L382" s="63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63"/>
      <c r="K383" s="63"/>
      <c r="L383" s="63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63"/>
      <c r="K384" s="63"/>
      <c r="L384" s="63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63"/>
      <c r="K385" s="63"/>
      <c r="L385" s="63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63"/>
      <c r="K386" s="63"/>
      <c r="L386" s="63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63"/>
      <c r="K387" s="63"/>
      <c r="L387" s="63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63"/>
      <c r="K388" s="63"/>
      <c r="L388" s="63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63"/>
      <c r="K389" s="63"/>
      <c r="L389" s="63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63"/>
      <c r="K390" s="63"/>
      <c r="L390" s="63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63"/>
      <c r="K391" s="63"/>
      <c r="L391" s="63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63"/>
      <c r="K392" s="63"/>
      <c r="L392" s="63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63"/>
      <c r="K393" s="63"/>
      <c r="L393" s="63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63"/>
      <c r="K394" s="63"/>
      <c r="L394" s="63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63"/>
      <c r="K395" s="63"/>
      <c r="L395" s="63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63"/>
      <c r="K396" s="63"/>
      <c r="L396" s="63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63"/>
      <c r="K397" s="63"/>
      <c r="L397" s="63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63"/>
      <c r="K398" s="63"/>
      <c r="L398" s="63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63"/>
      <c r="K399" s="63"/>
      <c r="L399" s="63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63"/>
      <c r="K400" s="63"/>
      <c r="L400" s="63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63"/>
      <c r="K401" s="63"/>
      <c r="L401" s="63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63"/>
      <c r="K402" s="63"/>
      <c r="L402" s="63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63"/>
      <c r="K403" s="63"/>
      <c r="L403" s="63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63"/>
      <c r="K404" s="63"/>
      <c r="L404" s="63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63"/>
      <c r="K405" s="63"/>
      <c r="L405" s="63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63"/>
      <c r="K406" s="63"/>
      <c r="L406" s="63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63"/>
      <c r="K407" s="63"/>
      <c r="L407" s="63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63"/>
      <c r="K408" s="63"/>
      <c r="L408" s="63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63"/>
      <c r="K409" s="63"/>
      <c r="L409" s="63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63"/>
      <c r="K410" s="63"/>
      <c r="L410" s="63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63"/>
      <c r="K411" s="63"/>
      <c r="L411" s="63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63"/>
      <c r="K412" s="63"/>
      <c r="L412" s="63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63"/>
      <c r="K413" s="63"/>
      <c r="L413" s="63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63"/>
      <c r="K414" s="63"/>
      <c r="L414" s="63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63"/>
      <c r="K415" s="63"/>
      <c r="L415" s="63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63"/>
      <c r="K416" s="63"/>
      <c r="L416" s="63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63"/>
      <c r="K417" s="63"/>
      <c r="L417" s="63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63"/>
      <c r="K418" s="63"/>
      <c r="L418" s="63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63"/>
      <c r="K419" s="63"/>
      <c r="L419" s="63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63"/>
      <c r="K420" s="63"/>
      <c r="L420" s="63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63"/>
      <c r="K421" s="63"/>
      <c r="L421" s="63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63"/>
      <c r="K422" s="63"/>
      <c r="L422" s="63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63"/>
      <c r="K423" s="63"/>
      <c r="L423" s="63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63"/>
      <c r="K424" s="63"/>
      <c r="L424" s="63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63"/>
      <c r="K425" s="63"/>
      <c r="L425" s="63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63"/>
      <c r="K426" s="63"/>
      <c r="L426" s="63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63"/>
      <c r="K427" s="63"/>
      <c r="L427" s="63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63"/>
      <c r="K428" s="63"/>
      <c r="L428" s="63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63"/>
      <c r="K429" s="63"/>
      <c r="L429" s="63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63"/>
      <c r="K430" s="63"/>
      <c r="L430" s="63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63"/>
      <c r="K431" s="63"/>
      <c r="L431" s="63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63"/>
      <c r="K432" s="63"/>
      <c r="L432" s="63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63"/>
      <c r="K433" s="63"/>
      <c r="L433" s="63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63"/>
      <c r="K434" s="63"/>
      <c r="L434" s="63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63"/>
      <c r="K435" s="63"/>
      <c r="L435" s="63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63"/>
      <c r="K436" s="63"/>
      <c r="L436" s="63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63"/>
      <c r="K437" s="63"/>
      <c r="L437" s="63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63"/>
      <c r="K438" s="63"/>
      <c r="L438" s="63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63"/>
      <c r="K439" s="63"/>
      <c r="L439" s="63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63"/>
      <c r="K440" s="63"/>
      <c r="L440" s="63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63"/>
      <c r="K441" s="63"/>
      <c r="L441" s="63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63"/>
      <c r="K442" s="63"/>
      <c r="L442" s="63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63"/>
      <c r="K443" s="63"/>
      <c r="L443" s="63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63"/>
      <c r="K444" s="63"/>
      <c r="L444" s="63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63"/>
      <c r="K445" s="63"/>
      <c r="L445" s="63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63"/>
      <c r="K446" s="63"/>
      <c r="L446" s="63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63"/>
      <c r="K447" s="63"/>
      <c r="L447" s="63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63"/>
      <c r="K448" s="63"/>
      <c r="L448" s="63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63"/>
      <c r="K449" s="63"/>
      <c r="L449" s="63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63"/>
      <c r="K450" s="63"/>
      <c r="L450" s="63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63"/>
      <c r="K451" s="63"/>
      <c r="L451" s="63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63"/>
      <c r="K452" s="63"/>
      <c r="L452" s="63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63"/>
      <c r="K453" s="63"/>
      <c r="L453" s="63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63"/>
      <c r="K454" s="63"/>
      <c r="L454" s="63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63"/>
      <c r="K455" s="63"/>
      <c r="L455" s="63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63"/>
      <c r="K456" s="63"/>
      <c r="L456" s="63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63"/>
      <c r="K457" s="63"/>
      <c r="L457" s="63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63"/>
      <c r="K458" s="63"/>
      <c r="L458" s="63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63"/>
      <c r="K459" s="63"/>
      <c r="L459" s="63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63"/>
      <c r="K460" s="63"/>
      <c r="L460" s="63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63"/>
      <c r="K461" s="63"/>
      <c r="L461" s="63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63"/>
      <c r="K462" s="63"/>
      <c r="L462" s="63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63"/>
      <c r="K463" s="63"/>
      <c r="L463" s="63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63"/>
      <c r="K464" s="63"/>
      <c r="L464" s="63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63"/>
      <c r="K465" s="63"/>
      <c r="L465" s="63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63"/>
      <c r="K466" s="63"/>
      <c r="L466" s="63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63"/>
      <c r="K467" s="63"/>
      <c r="L467" s="63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63"/>
      <c r="K468" s="63"/>
      <c r="L468" s="63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63"/>
      <c r="K469" s="63"/>
      <c r="L469" s="63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63"/>
      <c r="K470" s="63"/>
      <c r="L470" s="63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63"/>
      <c r="K471" s="63"/>
      <c r="L471" s="63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63"/>
      <c r="K472" s="63"/>
      <c r="L472" s="63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63"/>
      <c r="K473" s="63"/>
      <c r="L473" s="63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63"/>
      <c r="K474" s="63"/>
      <c r="L474" s="63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63"/>
      <c r="K475" s="63"/>
      <c r="L475" s="63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63"/>
      <c r="K476" s="63"/>
      <c r="L476" s="63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63"/>
      <c r="K477" s="63"/>
      <c r="L477" s="63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63"/>
      <c r="K478" s="63"/>
      <c r="L478" s="63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63"/>
      <c r="K479" s="63"/>
      <c r="L479" s="63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63"/>
      <c r="K480" s="63"/>
      <c r="L480" s="63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63"/>
      <c r="K481" s="63"/>
      <c r="L481" s="63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63"/>
      <c r="K482" s="63"/>
      <c r="L482" s="63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63"/>
      <c r="K483" s="63"/>
      <c r="L483" s="63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63"/>
      <c r="K484" s="63"/>
      <c r="L484" s="63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63"/>
      <c r="K485" s="63"/>
      <c r="L485" s="63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63"/>
      <c r="K486" s="63"/>
      <c r="L486" s="63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63"/>
      <c r="K487" s="63"/>
      <c r="L487" s="63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63"/>
      <c r="K488" s="63"/>
      <c r="L488" s="63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63"/>
      <c r="K489" s="63"/>
      <c r="L489" s="63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63"/>
      <c r="K490" s="63"/>
      <c r="L490" s="63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63"/>
      <c r="K491" s="63"/>
      <c r="L491" s="63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63"/>
      <c r="K492" s="63"/>
      <c r="L492" s="63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63"/>
      <c r="K493" s="63"/>
      <c r="L493" s="63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63"/>
      <c r="K494" s="63"/>
      <c r="L494" s="63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63"/>
      <c r="K495" s="63"/>
      <c r="L495" s="63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63"/>
      <c r="K496" s="63"/>
      <c r="L496" s="63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63"/>
      <c r="K497" s="63"/>
      <c r="L497" s="63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63"/>
      <c r="K498" s="63"/>
      <c r="L498" s="63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63"/>
      <c r="K499" s="63"/>
      <c r="L499" s="63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63"/>
      <c r="K500" s="63"/>
      <c r="L500" s="63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63"/>
      <c r="K501" s="63"/>
      <c r="L501" s="63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63"/>
      <c r="K502" s="63"/>
      <c r="L502" s="63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63"/>
      <c r="K503" s="63"/>
      <c r="L503" s="63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63"/>
      <c r="K504" s="63"/>
      <c r="L504" s="63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63"/>
      <c r="K505" s="63"/>
      <c r="L505" s="63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63"/>
      <c r="K506" s="63"/>
      <c r="L506" s="63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63"/>
      <c r="K507" s="63"/>
      <c r="L507" s="63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63"/>
      <c r="K508" s="63"/>
      <c r="L508" s="63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63"/>
      <c r="K509" s="63"/>
      <c r="L509" s="63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63"/>
      <c r="K510" s="63"/>
      <c r="L510" s="63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63"/>
      <c r="K511" s="63"/>
      <c r="L511" s="63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63"/>
      <c r="K512" s="63"/>
      <c r="L512" s="63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63"/>
      <c r="K513" s="63"/>
      <c r="L513" s="63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63"/>
      <c r="K514" s="63"/>
      <c r="L514" s="63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63"/>
      <c r="K515" s="63"/>
      <c r="L515" s="63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63"/>
      <c r="K516" s="63"/>
      <c r="L516" s="63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63"/>
      <c r="K517" s="63"/>
      <c r="L517" s="63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63"/>
      <c r="K518" s="63"/>
      <c r="L518" s="63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63"/>
      <c r="K519" s="63"/>
      <c r="L519" s="63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63"/>
      <c r="K520" s="63"/>
      <c r="L520" s="63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63"/>
      <c r="K521" s="63"/>
      <c r="L521" s="63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63"/>
      <c r="K522" s="63"/>
      <c r="L522" s="63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63"/>
      <c r="K523" s="63"/>
      <c r="L523" s="63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63"/>
      <c r="K524" s="63"/>
      <c r="L524" s="63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63"/>
      <c r="K525" s="63"/>
      <c r="L525" s="63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63"/>
      <c r="K526" s="63"/>
      <c r="L526" s="63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63"/>
      <c r="K527" s="63"/>
      <c r="L527" s="63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63"/>
      <c r="K528" s="63"/>
      <c r="L528" s="63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63"/>
      <c r="K529" s="63"/>
      <c r="L529" s="63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63"/>
      <c r="K530" s="63"/>
      <c r="L530" s="63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63"/>
      <c r="K531" s="63"/>
      <c r="L531" s="63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63"/>
      <c r="K532" s="63"/>
      <c r="L532" s="63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63"/>
      <c r="K533" s="63"/>
      <c r="L533" s="63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63"/>
      <c r="K534" s="63"/>
      <c r="L534" s="63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63"/>
      <c r="K535" s="63"/>
      <c r="L535" s="63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63"/>
      <c r="K536" s="63"/>
      <c r="L536" s="63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63"/>
      <c r="K537" s="63"/>
      <c r="L537" s="63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63"/>
      <c r="K538" s="63"/>
      <c r="L538" s="63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63"/>
      <c r="K539" s="63"/>
      <c r="L539" s="63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63"/>
      <c r="K540" s="63"/>
      <c r="L540" s="63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63"/>
      <c r="K541" s="63"/>
      <c r="L541" s="63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63"/>
      <c r="K542" s="63"/>
      <c r="L542" s="63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63"/>
      <c r="K543" s="63"/>
      <c r="L543" s="63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63"/>
      <c r="K544" s="63"/>
      <c r="L544" s="63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63"/>
      <c r="K545" s="63"/>
      <c r="L545" s="63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63"/>
      <c r="K546" s="63"/>
      <c r="L546" s="63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63"/>
      <c r="K547" s="63"/>
      <c r="L547" s="63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63"/>
      <c r="K548" s="63"/>
      <c r="L548" s="63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63"/>
      <c r="K549" s="63"/>
      <c r="L549" s="63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63"/>
      <c r="K550" s="63"/>
      <c r="L550" s="63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63"/>
      <c r="K551" s="63"/>
      <c r="L551" s="63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63"/>
      <c r="K552" s="63"/>
      <c r="L552" s="63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63"/>
      <c r="K553" s="63"/>
      <c r="L553" s="63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63"/>
      <c r="K554" s="63"/>
      <c r="L554" s="63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63"/>
      <c r="K555" s="63"/>
      <c r="L555" s="63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63"/>
      <c r="K556" s="63"/>
      <c r="L556" s="63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63"/>
      <c r="K557" s="63"/>
      <c r="L557" s="63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63"/>
      <c r="K558" s="63"/>
      <c r="L558" s="63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63"/>
      <c r="K559" s="63"/>
      <c r="L559" s="63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63"/>
      <c r="K560" s="63"/>
      <c r="L560" s="63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63"/>
      <c r="K561" s="63"/>
      <c r="L561" s="63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63"/>
      <c r="K562" s="63"/>
      <c r="L562" s="63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63"/>
      <c r="K563" s="63"/>
      <c r="L563" s="63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63"/>
      <c r="K564" s="63"/>
      <c r="L564" s="63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63"/>
      <c r="K565" s="63"/>
      <c r="L565" s="63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63"/>
      <c r="K566" s="63"/>
      <c r="L566" s="63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63"/>
      <c r="K567" s="63"/>
      <c r="L567" s="63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63"/>
      <c r="K568" s="63"/>
      <c r="L568" s="63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63"/>
      <c r="K569" s="63"/>
      <c r="L569" s="63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63"/>
      <c r="K570" s="63"/>
      <c r="L570" s="63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63"/>
      <c r="K571" s="63"/>
      <c r="L571" s="63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63"/>
      <c r="K572" s="63"/>
      <c r="L572" s="63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63"/>
      <c r="K573" s="63"/>
      <c r="L573" s="63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63"/>
      <c r="K574" s="63"/>
      <c r="L574" s="63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63"/>
      <c r="K575" s="63"/>
      <c r="L575" s="63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63"/>
      <c r="K576" s="63"/>
      <c r="L576" s="63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63"/>
      <c r="K577" s="63"/>
      <c r="L577" s="63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63"/>
      <c r="K578" s="63"/>
      <c r="L578" s="63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63"/>
      <c r="K579" s="63"/>
      <c r="L579" s="63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63"/>
      <c r="K580" s="63"/>
      <c r="L580" s="63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63"/>
      <c r="K581" s="63"/>
      <c r="L581" s="63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63"/>
      <c r="K582" s="63"/>
      <c r="L582" s="63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63"/>
      <c r="K583" s="63"/>
      <c r="L583" s="63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63"/>
      <c r="K584" s="63"/>
      <c r="L584" s="63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63"/>
      <c r="K585" s="63"/>
      <c r="L585" s="63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63"/>
      <c r="K586" s="63"/>
      <c r="L586" s="63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63"/>
      <c r="K587" s="63"/>
      <c r="L587" s="63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63"/>
      <c r="K588" s="63"/>
      <c r="L588" s="63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63"/>
      <c r="K589" s="63"/>
      <c r="L589" s="63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63"/>
      <c r="K590" s="63"/>
      <c r="L590" s="63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63"/>
      <c r="K591" s="63"/>
      <c r="L591" s="63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63"/>
      <c r="K592" s="63"/>
      <c r="L592" s="63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63"/>
      <c r="K593" s="63"/>
      <c r="L593" s="63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63"/>
      <c r="K594" s="63"/>
      <c r="L594" s="63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63"/>
      <c r="K595" s="63"/>
      <c r="L595" s="63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63"/>
      <c r="K596" s="63"/>
      <c r="L596" s="63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63"/>
      <c r="K597" s="63"/>
      <c r="L597" s="63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63"/>
      <c r="K598" s="63"/>
      <c r="L598" s="63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63"/>
      <c r="K599" s="63"/>
      <c r="L599" s="63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63"/>
      <c r="K600" s="63"/>
      <c r="L600" s="63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63"/>
      <c r="K601" s="63"/>
      <c r="L601" s="63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63"/>
      <c r="K602" s="63"/>
      <c r="L602" s="63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63"/>
      <c r="K603" s="63"/>
      <c r="L603" s="63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63"/>
      <c r="K604" s="63"/>
      <c r="L604" s="63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63"/>
      <c r="K605" s="63"/>
      <c r="L605" s="63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63"/>
      <c r="K606" s="63"/>
      <c r="L606" s="63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63"/>
      <c r="K607" s="63"/>
      <c r="L607" s="63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63"/>
      <c r="K608" s="63"/>
      <c r="L608" s="63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63"/>
      <c r="K609" s="63"/>
      <c r="L609" s="63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63"/>
      <c r="K610" s="63"/>
      <c r="L610" s="63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63"/>
      <c r="K611" s="63"/>
      <c r="L611" s="63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63"/>
      <c r="K612" s="63"/>
      <c r="L612" s="63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63"/>
      <c r="K613" s="63"/>
      <c r="L613" s="63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63"/>
      <c r="K614" s="63"/>
      <c r="L614" s="63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63"/>
      <c r="K615" s="63"/>
      <c r="L615" s="63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63"/>
      <c r="K616" s="63"/>
      <c r="L616" s="63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63"/>
      <c r="K617" s="63"/>
      <c r="L617" s="63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63"/>
      <c r="K618" s="63"/>
      <c r="L618" s="63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63"/>
      <c r="K619" s="63"/>
      <c r="L619" s="63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63"/>
      <c r="K620" s="63"/>
      <c r="L620" s="63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63"/>
      <c r="K621" s="63"/>
      <c r="L621" s="63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63"/>
      <c r="K622" s="63"/>
      <c r="L622" s="63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63"/>
      <c r="K623" s="63"/>
      <c r="L623" s="63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63"/>
      <c r="K624" s="63"/>
      <c r="L624" s="63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63"/>
      <c r="K625" s="63"/>
      <c r="L625" s="63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63"/>
      <c r="K626" s="63"/>
      <c r="L626" s="63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63"/>
      <c r="K627" s="63"/>
      <c r="L627" s="63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63"/>
      <c r="K628" s="63"/>
      <c r="L628" s="63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63"/>
      <c r="K629" s="63"/>
      <c r="L629" s="63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63"/>
      <c r="K630" s="63"/>
      <c r="L630" s="63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63"/>
      <c r="K631" s="63"/>
      <c r="L631" s="63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63"/>
      <c r="K632" s="63"/>
      <c r="L632" s="63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63"/>
      <c r="K633" s="63"/>
      <c r="L633" s="63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63"/>
      <c r="K634" s="63"/>
      <c r="L634" s="63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63"/>
      <c r="K635" s="63"/>
      <c r="L635" s="63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63"/>
      <c r="K636" s="63"/>
      <c r="L636" s="63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63"/>
      <c r="K637" s="63"/>
      <c r="L637" s="63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63"/>
      <c r="K638" s="63"/>
      <c r="L638" s="63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63"/>
      <c r="K639" s="63"/>
      <c r="L639" s="63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63"/>
      <c r="K640" s="63"/>
      <c r="L640" s="63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63"/>
      <c r="K641" s="63"/>
      <c r="L641" s="63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63"/>
      <c r="K642" s="63"/>
      <c r="L642" s="63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63"/>
      <c r="K643" s="63"/>
      <c r="L643" s="63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63"/>
      <c r="K644" s="63"/>
      <c r="L644" s="63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63"/>
      <c r="K645" s="63"/>
      <c r="L645" s="63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63"/>
      <c r="K646" s="63"/>
      <c r="L646" s="63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63"/>
      <c r="K647" s="63"/>
      <c r="L647" s="63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63"/>
      <c r="K648" s="63"/>
      <c r="L648" s="63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63"/>
      <c r="K649" s="63"/>
      <c r="L649" s="63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63"/>
      <c r="K650" s="63"/>
      <c r="L650" s="63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63"/>
      <c r="K651" s="63"/>
      <c r="L651" s="63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63"/>
      <c r="K652" s="63"/>
      <c r="L652" s="63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63"/>
      <c r="K653" s="63"/>
      <c r="L653" s="63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63"/>
      <c r="K654" s="63"/>
      <c r="L654" s="63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63"/>
      <c r="K655" s="63"/>
      <c r="L655" s="63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63"/>
      <c r="K656" s="63"/>
      <c r="L656" s="63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63"/>
      <c r="K657" s="63"/>
      <c r="L657" s="63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63"/>
      <c r="K658" s="63"/>
      <c r="L658" s="63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63"/>
      <c r="K659" s="63"/>
      <c r="L659" s="63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63"/>
      <c r="K660" s="63"/>
      <c r="L660" s="63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63"/>
      <c r="K661" s="63"/>
      <c r="L661" s="63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63"/>
      <c r="K662" s="63"/>
      <c r="L662" s="63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63"/>
      <c r="K663" s="63"/>
      <c r="L663" s="63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63"/>
      <c r="K664" s="63"/>
      <c r="L664" s="63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63"/>
      <c r="K665" s="63"/>
      <c r="L665" s="63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63"/>
      <c r="K666" s="63"/>
      <c r="L666" s="63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63"/>
      <c r="K667" s="63"/>
      <c r="L667" s="63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63"/>
      <c r="K668" s="63"/>
      <c r="L668" s="63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63"/>
      <c r="K669" s="63"/>
      <c r="L669" s="63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63"/>
      <c r="K670" s="63"/>
      <c r="L670" s="63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63"/>
      <c r="K671" s="63"/>
      <c r="L671" s="63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63"/>
      <c r="K672" s="63"/>
      <c r="L672" s="63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63"/>
      <c r="K673" s="63"/>
      <c r="L673" s="63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63"/>
      <c r="K674" s="63"/>
      <c r="L674" s="63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63"/>
      <c r="K675" s="63"/>
      <c r="L675" s="63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63"/>
      <c r="K676" s="63"/>
      <c r="L676" s="63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63"/>
      <c r="K677" s="63"/>
      <c r="L677" s="63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63"/>
      <c r="K678" s="63"/>
      <c r="L678" s="63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63"/>
      <c r="K679" s="63"/>
      <c r="L679" s="63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63"/>
      <c r="K680" s="63"/>
      <c r="L680" s="63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63"/>
      <c r="K681" s="63"/>
      <c r="L681" s="63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63"/>
      <c r="K682" s="63"/>
      <c r="L682" s="63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63"/>
      <c r="K683" s="63"/>
      <c r="L683" s="63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63"/>
      <c r="K684" s="63"/>
      <c r="L684" s="63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63"/>
      <c r="K685" s="63"/>
      <c r="L685" s="63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63"/>
      <c r="K686" s="63"/>
      <c r="L686" s="63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63"/>
      <c r="K687" s="63"/>
      <c r="L687" s="63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63"/>
      <c r="K688" s="63"/>
      <c r="L688" s="63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63"/>
      <c r="K689" s="63"/>
      <c r="L689" s="63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63"/>
      <c r="K690" s="63"/>
      <c r="L690" s="63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63"/>
      <c r="K691" s="63"/>
      <c r="L691" s="63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63"/>
      <c r="K692" s="63"/>
      <c r="L692" s="63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63"/>
      <c r="K693" s="63"/>
      <c r="L693" s="63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63"/>
      <c r="K694" s="63"/>
      <c r="L694" s="63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63"/>
      <c r="K695" s="63"/>
      <c r="L695" s="63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63"/>
      <c r="K696" s="63"/>
      <c r="L696" s="63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63"/>
      <c r="K697" s="63"/>
      <c r="L697" s="63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63"/>
      <c r="K698" s="63"/>
      <c r="L698" s="63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63"/>
      <c r="K699" s="63"/>
      <c r="L699" s="63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63"/>
      <c r="K700" s="63"/>
      <c r="L700" s="63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63"/>
      <c r="K701" s="63"/>
      <c r="L701" s="63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63"/>
      <c r="K702" s="63"/>
      <c r="L702" s="63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63"/>
      <c r="K703" s="63"/>
      <c r="L703" s="63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63"/>
      <c r="K704" s="63"/>
      <c r="L704" s="63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63"/>
      <c r="K705" s="63"/>
      <c r="L705" s="63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63"/>
      <c r="K706" s="63"/>
      <c r="L706" s="63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63"/>
      <c r="K707" s="63"/>
      <c r="L707" s="63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63"/>
      <c r="K708" s="63"/>
      <c r="L708" s="63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63"/>
      <c r="K709" s="63"/>
      <c r="L709" s="63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63"/>
      <c r="K710" s="63"/>
      <c r="L710" s="63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63"/>
      <c r="K711" s="63"/>
      <c r="L711" s="63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63"/>
      <c r="K712" s="63"/>
      <c r="L712" s="63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63"/>
      <c r="K713" s="63"/>
      <c r="L713" s="63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63"/>
      <c r="K714" s="63"/>
      <c r="L714" s="63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63"/>
      <c r="K715" s="63"/>
      <c r="L715" s="63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63"/>
      <c r="K716" s="63"/>
      <c r="L716" s="63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63"/>
      <c r="K717" s="63"/>
      <c r="L717" s="63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63"/>
      <c r="K718" s="63"/>
      <c r="L718" s="63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63"/>
      <c r="K719" s="63"/>
      <c r="L719" s="63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63"/>
      <c r="K720" s="63"/>
      <c r="L720" s="63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63"/>
      <c r="K721" s="63"/>
      <c r="L721" s="63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63"/>
      <c r="K722" s="63"/>
      <c r="L722" s="63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63"/>
      <c r="K723" s="63"/>
      <c r="L723" s="63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63"/>
      <c r="K724" s="63"/>
      <c r="L724" s="63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63"/>
      <c r="K725" s="63"/>
      <c r="L725" s="63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63"/>
      <c r="K726" s="63"/>
      <c r="L726" s="63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63"/>
      <c r="K727" s="63"/>
      <c r="L727" s="63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63"/>
      <c r="K728" s="63"/>
      <c r="L728" s="63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63"/>
      <c r="K729" s="63"/>
      <c r="L729" s="63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63"/>
      <c r="K730" s="63"/>
      <c r="L730" s="63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63"/>
      <c r="K731" s="63"/>
      <c r="L731" s="63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63"/>
      <c r="K732" s="63"/>
      <c r="L732" s="63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63"/>
      <c r="K733" s="63"/>
      <c r="L733" s="63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63"/>
      <c r="K734" s="63"/>
      <c r="L734" s="63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63"/>
      <c r="K735" s="63"/>
      <c r="L735" s="63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63"/>
      <c r="K736" s="63"/>
      <c r="L736" s="63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63"/>
      <c r="K737" s="63"/>
      <c r="L737" s="63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63"/>
      <c r="K738" s="63"/>
      <c r="L738" s="63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63"/>
      <c r="K739" s="63"/>
      <c r="L739" s="63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63"/>
      <c r="K740" s="63"/>
      <c r="L740" s="63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63"/>
      <c r="K741" s="63"/>
      <c r="L741" s="63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63"/>
      <c r="K742" s="63"/>
      <c r="L742" s="63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63"/>
      <c r="K743" s="63"/>
      <c r="L743" s="63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63"/>
      <c r="K744" s="63"/>
      <c r="L744" s="63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63"/>
      <c r="K745" s="63"/>
      <c r="L745" s="63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63"/>
      <c r="K746" s="63"/>
      <c r="L746" s="63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63"/>
      <c r="K747" s="63"/>
      <c r="L747" s="63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63"/>
      <c r="K748" s="63"/>
      <c r="L748" s="63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63"/>
      <c r="K749" s="63"/>
      <c r="L749" s="63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63"/>
      <c r="K750" s="63"/>
      <c r="L750" s="63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63"/>
      <c r="K751" s="63"/>
      <c r="L751" s="63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63"/>
      <c r="K752" s="63"/>
      <c r="L752" s="63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63"/>
      <c r="K753" s="63"/>
      <c r="L753" s="63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63"/>
      <c r="K754" s="63"/>
      <c r="L754" s="63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63"/>
      <c r="K755" s="63"/>
      <c r="L755" s="63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63"/>
      <c r="K756" s="63"/>
      <c r="L756" s="63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63"/>
      <c r="K757" s="63"/>
      <c r="L757" s="63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63"/>
      <c r="K758" s="63"/>
      <c r="L758" s="63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63"/>
      <c r="K759" s="63"/>
      <c r="L759" s="63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63"/>
      <c r="K760" s="63"/>
      <c r="L760" s="63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63"/>
      <c r="K761" s="63"/>
      <c r="L761" s="63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63"/>
      <c r="K762" s="63"/>
      <c r="L762" s="63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63"/>
      <c r="K763" s="63"/>
      <c r="L763" s="63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63"/>
      <c r="K764" s="63"/>
      <c r="L764" s="63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63"/>
      <c r="K765" s="63"/>
      <c r="L765" s="63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63"/>
      <c r="K766" s="63"/>
      <c r="L766" s="63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63"/>
      <c r="K767" s="63"/>
      <c r="L767" s="63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63"/>
      <c r="K768" s="63"/>
      <c r="L768" s="63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63"/>
      <c r="K769" s="63"/>
      <c r="L769" s="63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63"/>
      <c r="K770" s="63"/>
      <c r="L770" s="63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63"/>
      <c r="K771" s="63"/>
      <c r="L771" s="63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63"/>
      <c r="K772" s="63"/>
      <c r="L772" s="63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63"/>
      <c r="K773" s="63"/>
      <c r="L773" s="63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63"/>
      <c r="K774" s="63"/>
      <c r="L774" s="63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63"/>
      <c r="K775" s="63"/>
      <c r="L775" s="63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63"/>
      <c r="K776" s="63"/>
      <c r="L776" s="63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63"/>
      <c r="K777" s="63"/>
      <c r="L777" s="63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63"/>
      <c r="K778" s="63"/>
      <c r="L778" s="63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63"/>
      <c r="K779" s="63"/>
      <c r="L779" s="63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63"/>
      <c r="K780" s="63"/>
      <c r="L780" s="63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63"/>
      <c r="K781" s="63"/>
      <c r="L781" s="63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63"/>
      <c r="K782" s="63"/>
      <c r="L782" s="63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63"/>
      <c r="K783" s="63"/>
      <c r="L783" s="63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63"/>
      <c r="K784" s="63"/>
      <c r="L784" s="63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63"/>
      <c r="K785" s="63"/>
      <c r="L785" s="63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63"/>
      <c r="K786" s="63"/>
      <c r="L786" s="63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63"/>
      <c r="K787" s="63"/>
      <c r="L787" s="63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63"/>
      <c r="K788" s="63"/>
      <c r="L788" s="63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63"/>
      <c r="K789" s="63"/>
      <c r="L789" s="63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63"/>
      <c r="K790" s="63"/>
      <c r="L790" s="63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63"/>
      <c r="K791" s="63"/>
      <c r="L791" s="63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63"/>
      <c r="K792" s="63"/>
      <c r="L792" s="63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63"/>
      <c r="K793" s="63"/>
      <c r="L793" s="63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63"/>
      <c r="K794" s="63"/>
      <c r="L794" s="63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63"/>
      <c r="K795" s="63"/>
      <c r="L795" s="63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63"/>
      <c r="K796" s="63"/>
      <c r="L796" s="63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63"/>
      <c r="K797" s="63"/>
      <c r="L797" s="63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63"/>
      <c r="K798" s="63"/>
      <c r="L798" s="63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63"/>
      <c r="K799" s="63"/>
      <c r="L799" s="63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63"/>
      <c r="K800" s="63"/>
      <c r="L800" s="63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63"/>
      <c r="K801" s="63"/>
      <c r="L801" s="63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63"/>
      <c r="K802" s="63"/>
      <c r="L802" s="63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63"/>
      <c r="K803" s="63"/>
      <c r="L803" s="63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63"/>
      <c r="K804" s="63"/>
      <c r="L804" s="63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63"/>
      <c r="K805" s="63"/>
      <c r="L805" s="63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63"/>
      <c r="K806" s="63"/>
      <c r="L806" s="63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63"/>
      <c r="K807" s="63"/>
      <c r="L807" s="63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63"/>
      <c r="K808" s="63"/>
      <c r="L808" s="63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63"/>
      <c r="K809" s="63"/>
      <c r="L809" s="63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63"/>
      <c r="K810" s="63"/>
      <c r="L810" s="63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63"/>
      <c r="K811" s="63"/>
      <c r="L811" s="63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63"/>
      <c r="K812" s="63"/>
      <c r="L812" s="63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63"/>
      <c r="K813" s="63"/>
      <c r="L813" s="63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63"/>
      <c r="K814" s="63"/>
      <c r="L814" s="63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63"/>
      <c r="K815" s="63"/>
      <c r="L815" s="63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63"/>
      <c r="K816" s="63"/>
      <c r="L816" s="63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63"/>
      <c r="K817" s="63"/>
      <c r="L817" s="63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63"/>
      <c r="K818" s="63"/>
      <c r="L818" s="63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63"/>
      <c r="K819" s="63"/>
      <c r="L819" s="63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63"/>
      <c r="K820" s="63"/>
      <c r="L820" s="63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63"/>
      <c r="K821" s="63"/>
      <c r="L821" s="63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63"/>
      <c r="K822" s="63"/>
      <c r="L822" s="63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63"/>
      <c r="K823" s="63"/>
      <c r="L823" s="63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63"/>
      <c r="K824" s="63"/>
      <c r="L824" s="63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63"/>
      <c r="K825" s="63"/>
      <c r="L825" s="63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63"/>
      <c r="K826" s="63"/>
      <c r="L826" s="63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63"/>
      <c r="K827" s="63"/>
      <c r="L827" s="63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63"/>
      <c r="K828" s="63"/>
      <c r="L828" s="63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63"/>
      <c r="K829" s="63"/>
      <c r="L829" s="63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63"/>
      <c r="K830" s="63"/>
      <c r="L830" s="63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63"/>
      <c r="K831" s="63"/>
      <c r="L831" s="63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63"/>
      <c r="K832" s="63"/>
      <c r="L832" s="63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63"/>
      <c r="K833" s="63"/>
      <c r="L833" s="63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63"/>
      <c r="K834" s="63"/>
      <c r="L834" s="63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63"/>
      <c r="K835" s="63"/>
      <c r="L835" s="63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63"/>
      <c r="K836" s="63"/>
      <c r="L836" s="63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63"/>
      <c r="K837" s="63"/>
      <c r="L837" s="63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63"/>
      <c r="K838" s="63"/>
      <c r="L838" s="63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63"/>
      <c r="K839" s="63"/>
      <c r="L839" s="63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63"/>
      <c r="K840" s="63"/>
      <c r="L840" s="63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63"/>
      <c r="K841" s="63"/>
      <c r="L841" s="63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63"/>
      <c r="K842" s="63"/>
      <c r="L842" s="63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63"/>
      <c r="K843" s="63"/>
      <c r="L843" s="63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63"/>
      <c r="K844" s="63"/>
      <c r="L844" s="63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63"/>
      <c r="K845" s="63"/>
      <c r="L845" s="63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63"/>
      <c r="K846" s="63"/>
      <c r="L846" s="63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63"/>
      <c r="K847" s="63"/>
      <c r="L847" s="63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63"/>
      <c r="K848" s="63"/>
      <c r="L848" s="63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63"/>
      <c r="K849" s="63"/>
      <c r="L849" s="63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63"/>
      <c r="K850" s="63"/>
      <c r="L850" s="63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63"/>
      <c r="K851" s="63"/>
      <c r="L851" s="63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63"/>
      <c r="K852" s="63"/>
      <c r="L852" s="63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63"/>
      <c r="K853" s="63"/>
      <c r="L853" s="63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63"/>
      <c r="K854" s="63"/>
      <c r="L854" s="63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63"/>
      <c r="K855" s="63"/>
      <c r="L855" s="63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63"/>
      <c r="K856" s="63"/>
      <c r="L856" s="63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63"/>
      <c r="K857" s="63"/>
      <c r="L857" s="63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63"/>
      <c r="K858" s="63"/>
      <c r="L858" s="63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63"/>
      <c r="K859" s="63"/>
      <c r="L859" s="63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63"/>
      <c r="K860" s="63"/>
      <c r="L860" s="63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63"/>
      <c r="K861" s="63"/>
      <c r="L861" s="63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63"/>
      <c r="K862" s="63"/>
      <c r="L862" s="63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63"/>
      <c r="K863" s="63"/>
      <c r="L863" s="63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63"/>
      <c r="K864" s="63"/>
      <c r="L864" s="63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63"/>
      <c r="K865" s="63"/>
      <c r="L865" s="63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63"/>
      <c r="K866" s="63"/>
      <c r="L866" s="63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63"/>
      <c r="K867" s="63"/>
      <c r="L867" s="63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63"/>
      <c r="K868" s="63"/>
      <c r="L868" s="63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63"/>
      <c r="K869" s="63"/>
      <c r="L869" s="63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63"/>
      <c r="K870" s="63"/>
      <c r="L870" s="63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63"/>
      <c r="K871" s="63"/>
      <c r="L871" s="63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63"/>
      <c r="K872" s="63"/>
      <c r="L872" s="63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63"/>
      <c r="K873" s="63"/>
      <c r="L873" s="63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63"/>
      <c r="K874" s="63"/>
      <c r="L874" s="63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63"/>
      <c r="K875" s="63"/>
      <c r="L875" s="63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63"/>
      <c r="K876" s="63"/>
      <c r="L876" s="63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63"/>
      <c r="K877" s="63"/>
      <c r="L877" s="63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63"/>
      <c r="K878" s="63"/>
      <c r="L878" s="63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63"/>
      <c r="K879" s="63"/>
      <c r="L879" s="63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63"/>
      <c r="K880" s="63"/>
      <c r="L880" s="63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63"/>
      <c r="K881" s="63"/>
      <c r="L881" s="63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63"/>
      <c r="K882" s="63"/>
      <c r="L882" s="63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63"/>
      <c r="K883" s="63"/>
      <c r="L883" s="63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63"/>
      <c r="K884" s="63"/>
      <c r="L884" s="63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63"/>
      <c r="K885" s="63"/>
      <c r="L885" s="63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63"/>
      <c r="K886" s="63"/>
      <c r="L886" s="63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63"/>
      <c r="K887" s="63"/>
      <c r="L887" s="63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63"/>
      <c r="K888" s="63"/>
      <c r="L888" s="63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63"/>
      <c r="K889" s="63"/>
      <c r="L889" s="63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63"/>
      <c r="K890" s="63"/>
      <c r="L890" s="63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63"/>
      <c r="K891" s="63"/>
      <c r="L891" s="63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63"/>
      <c r="K892" s="63"/>
      <c r="L892" s="63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63"/>
      <c r="K893" s="63"/>
      <c r="L893" s="63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63"/>
      <c r="K894" s="63"/>
      <c r="L894" s="63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63"/>
      <c r="K895" s="63"/>
      <c r="L895" s="63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63"/>
      <c r="K896" s="63"/>
      <c r="L896" s="63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63"/>
      <c r="K897" s="63"/>
      <c r="L897" s="63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63"/>
      <c r="K898" s="63"/>
      <c r="L898" s="63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63"/>
      <c r="K899" s="63"/>
      <c r="L899" s="63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63"/>
      <c r="K900" s="63"/>
      <c r="L900" s="63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63"/>
      <c r="K901" s="63"/>
      <c r="L901" s="63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63"/>
      <c r="K902" s="63"/>
      <c r="L902" s="63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63"/>
      <c r="K903" s="63"/>
      <c r="L903" s="63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63"/>
      <c r="K904" s="63"/>
      <c r="L904" s="63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63"/>
      <c r="K905" s="63"/>
      <c r="L905" s="63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63"/>
      <c r="K906" s="63"/>
      <c r="L906" s="63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63"/>
      <c r="K907" s="63"/>
      <c r="L907" s="63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63"/>
      <c r="K908" s="63"/>
      <c r="L908" s="63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63"/>
      <c r="K909" s="63"/>
      <c r="L909" s="63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63"/>
      <c r="K910" s="63"/>
      <c r="L910" s="63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63"/>
      <c r="K911" s="63"/>
      <c r="L911" s="63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63"/>
      <c r="K912" s="63"/>
      <c r="L912" s="63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63"/>
      <c r="K913" s="63"/>
      <c r="L913" s="63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63"/>
      <c r="K914" s="63"/>
      <c r="L914" s="63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63"/>
      <c r="K915" s="63"/>
      <c r="L915" s="63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63"/>
      <c r="K916" s="63"/>
      <c r="L916" s="63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63"/>
      <c r="K917" s="63"/>
      <c r="L917" s="63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63"/>
      <c r="K918" s="63"/>
      <c r="L918" s="63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63"/>
      <c r="K919" s="63"/>
      <c r="L919" s="63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63"/>
      <c r="K920" s="63"/>
      <c r="L920" s="63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63"/>
      <c r="K921" s="63"/>
      <c r="L921" s="63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63"/>
      <c r="K922" s="63"/>
      <c r="L922" s="63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63"/>
      <c r="K923" s="63"/>
      <c r="L923" s="63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63"/>
      <c r="K924" s="63"/>
      <c r="L924" s="63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63"/>
      <c r="K925" s="63"/>
      <c r="L925" s="63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63"/>
      <c r="K926" s="63"/>
      <c r="L926" s="63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63"/>
      <c r="K927" s="63"/>
      <c r="L927" s="63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63"/>
      <c r="K928" s="63"/>
      <c r="L928" s="63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63"/>
      <c r="K929" s="63"/>
      <c r="L929" s="63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63"/>
      <c r="K930" s="63"/>
      <c r="L930" s="63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63"/>
      <c r="K931" s="63"/>
      <c r="L931" s="63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63"/>
      <c r="K932" s="63"/>
      <c r="L932" s="63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63"/>
      <c r="K933" s="63"/>
      <c r="L933" s="63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63"/>
      <c r="K934" s="63"/>
      <c r="L934" s="63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63"/>
      <c r="K935" s="63"/>
      <c r="L935" s="63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63"/>
      <c r="K936" s="63"/>
      <c r="L936" s="63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63"/>
      <c r="K937" s="63"/>
      <c r="L937" s="63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63"/>
      <c r="K938" s="63"/>
      <c r="L938" s="63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63"/>
      <c r="K939" s="63"/>
      <c r="L939" s="63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63"/>
      <c r="K940" s="63"/>
      <c r="L940" s="63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63"/>
      <c r="K941" s="63"/>
      <c r="L941" s="63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63"/>
      <c r="K942" s="63"/>
      <c r="L942" s="63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63"/>
      <c r="K943" s="63"/>
      <c r="L943" s="63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63"/>
      <c r="K944" s="63"/>
      <c r="L944" s="63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63"/>
      <c r="K945" s="63"/>
      <c r="L945" s="63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63"/>
      <c r="K946" s="63"/>
      <c r="L946" s="63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63"/>
      <c r="K947" s="63"/>
      <c r="L947" s="63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63"/>
      <c r="K948" s="63"/>
      <c r="L948" s="63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63"/>
      <c r="K949" s="63"/>
      <c r="L949" s="63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63"/>
      <c r="K950" s="63"/>
      <c r="L950" s="63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63"/>
      <c r="K951" s="63"/>
      <c r="L951" s="63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63"/>
      <c r="K952" s="63"/>
      <c r="L952" s="63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63"/>
      <c r="K953" s="63"/>
      <c r="L953" s="63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63"/>
      <c r="K954" s="63"/>
      <c r="L954" s="63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63"/>
      <c r="K955" s="63"/>
      <c r="L955" s="63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63"/>
      <c r="K956" s="63"/>
      <c r="L956" s="63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63"/>
      <c r="K957" s="63"/>
      <c r="L957" s="63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63"/>
      <c r="K958" s="63"/>
      <c r="L958" s="63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63"/>
      <c r="K959" s="63"/>
      <c r="L959" s="63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63"/>
      <c r="K960" s="63"/>
      <c r="L960" s="63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63"/>
      <c r="K961" s="63"/>
      <c r="L961" s="63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63"/>
      <c r="K962" s="63"/>
      <c r="L962" s="63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63"/>
      <c r="K963" s="63"/>
      <c r="L963" s="63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63"/>
      <c r="K964" s="63"/>
      <c r="L964" s="63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63"/>
      <c r="K965" s="63"/>
      <c r="L965" s="63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63"/>
      <c r="K966" s="63"/>
      <c r="L966" s="63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63"/>
      <c r="K967" s="63"/>
      <c r="L967" s="63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63"/>
      <c r="K968" s="63"/>
      <c r="L968" s="63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63"/>
      <c r="K969" s="63"/>
      <c r="L969" s="63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63"/>
      <c r="K970" s="63"/>
      <c r="L970" s="63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63"/>
      <c r="K971" s="63"/>
      <c r="L971" s="63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63"/>
      <c r="K972" s="63"/>
      <c r="L972" s="63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63"/>
      <c r="K973" s="63"/>
      <c r="L973" s="63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63"/>
      <c r="K974" s="63"/>
      <c r="L974" s="63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63"/>
      <c r="K975" s="63"/>
      <c r="L975" s="63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63"/>
      <c r="K976" s="63"/>
      <c r="L976" s="63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63"/>
      <c r="K977" s="63"/>
      <c r="L977" s="63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63"/>
      <c r="K978" s="63"/>
      <c r="L978" s="63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63"/>
      <c r="K979" s="63"/>
      <c r="L979" s="63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63"/>
      <c r="K980" s="63"/>
      <c r="L980" s="63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63"/>
      <c r="K981" s="63"/>
      <c r="L981" s="63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63"/>
      <c r="K982" s="63"/>
      <c r="L982" s="63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63"/>
      <c r="K983" s="63"/>
      <c r="L983" s="63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63"/>
      <c r="K984" s="63"/>
      <c r="L984" s="63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63"/>
      <c r="K985" s="63"/>
      <c r="L985" s="63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63"/>
      <c r="K986" s="63"/>
      <c r="L986" s="63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63"/>
      <c r="K987" s="63"/>
      <c r="L987" s="63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63"/>
      <c r="K988" s="63"/>
      <c r="L988" s="63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63"/>
      <c r="K989" s="63"/>
      <c r="L989" s="63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63"/>
      <c r="K990" s="63"/>
      <c r="L990" s="63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63"/>
      <c r="K991" s="63"/>
      <c r="L991" s="63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63"/>
      <c r="K992" s="63"/>
      <c r="L992" s="63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63"/>
      <c r="K993" s="63"/>
      <c r="L993" s="63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63"/>
      <c r="K994" s="63"/>
      <c r="L994" s="63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63"/>
      <c r="K995" s="63"/>
      <c r="L995" s="63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63"/>
      <c r="K996" s="63"/>
      <c r="L996" s="63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63"/>
      <c r="K997" s="63"/>
      <c r="L997" s="63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63"/>
      <c r="K998" s="63"/>
      <c r="L998" s="63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63"/>
      <c r="K999" s="63"/>
      <c r="L999" s="63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63"/>
      <c r="K1000" s="63"/>
      <c r="L1000" s="63"/>
      <c r="M1000" s="3"/>
      <c r="N1000" s="3"/>
      <c r="O1000" s="3"/>
      <c r="Q1000" s="4"/>
      <c r="R1000" s="5"/>
      <c r="S1000" s="5"/>
    </row>
  </sheetData>
  <sheetProtection password="CC27" sheet="1" objects="1" scenarios="1"/>
  <mergeCells count="6">
    <mergeCell ref="D33:K33"/>
    <mergeCell ref="B2:S2"/>
    <mergeCell ref="M3:O3"/>
    <mergeCell ref="Q3:S3"/>
    <mergeCell ref="J4:L4"/>
    <mergeCell ref="D31:K31"/>
  </mergeCells>
  <pageMargins left="0.511811024" right="0.511811024" top="0.78740157499999996" bottom="0.7874015749999999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selection activeCell="F12" sqref="F12"/>
    </sheetView>
  </sheetViews>
  <sheetFormatPr defaultColWidth="14.42578125" defaultRowHeight="15" customHeight="1"/>
  <cols>
    <col min="1" max="1" width="2.7109375" customWidth="1"/>
    <col min="2" max="2" width="7.42578125" customWidth="1"/>
    <col min="3" max="3" width="22.7109375" hidden="1" customWidth="1"/>
    <col min="4" max="4" width="38.85546875" customWidth="1"/>
    <col min="5" max="5" width="20.7109375" customWidth="1"/>
    <col min="6" max="6" width="42" customWidth="1"/>
    <col min="7" max="7" width="38.85546875" hidden="1" customWidth="1"/>
    <col min="8" max="8" width="38.85546875" customWidth="1"/>
    <col min="9" max="9" width="25.5703125" customWidth="1"/>
    <col min="10" max="12" width="9.140625" customWidth="1"/>
    <col min="13" max="15" width="14.140625" customWidth="1"/>
    <col min="16" max="16" width="13.5703125" customWidth="1"/>
    <col min="17" max="17" width="16.28515625" customWidth="1"/>
    <col min="18" max="18" width="14.85546875" customWidth="1"/>
    <col min="19" max="19" width="18" customWidth="1"/>
    <col min="20" max="37" width="8.7109375" customWidth="1"/>
  </cols>
  <sheetData>
    <row r="1" spans="1:37" ht="24.75" customHeight="1">
      <c r="C1" s="1"/>
      <c r="I1" s="2"/>
      <c r="J1" s="63"/>
      <c r="K1" s="63"/>
      <c r="L1" s="63"/>
      <c r="M1" s="3"/>
      <c r="N1" s="3"/>
      <c r="O1" s="3"/>
      <c r="Q1" s="4"/>
      <c r="R1" s="5"/>
      <c r="S1" s="5"/>
    </row>
    <row r="2" spans="1:37" ht="24.75" customHeight="1">
      <c r="A2" s="64"/>
      <c r="B2" s="312" t="s">
        <v>691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>
      <c r="A3" s="64"/>
      <c r="B3" s="6"/>
      <c r="C3" s="6"/>
      <c r="D3" s="6"/>
      <c r="E3" s="6"/>
      <c r="F3" s="6"/>
      <c r="G3" s="6"/>
      <c r="H3" s="6"/>
      <c r="I3" s="6"/>
      <c r="J3" s="6"/>
      <c r="K3" s="6"/>
      <c r="L3" s="226"/>
      <c r="M3" s="321" t="s">
        <v>1</v>
      </c>
      <c r="N3" s="308"/>
      <c r="O3" s="309"/>
      <c r="P3" s="235" t="s">
        <v>34</v>
      </c>
      <c r="Q3" s="322" t="s">
        <v>35</v>
      </c>
      <c r="R3" s="308"/>
      <c r="S3" s="30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>
      <c r="B4" s="236" t="s">
        <v>36</v>
      </c>
      <c r="C4" s="237" t="s">
        <v>37</v>
      </c>
      <c r="D4" s="238" t="s">
        <v>38</v>
      </c>
      <c r="E4" s="236" t="s">
        <v>39</v>
      </c>
      <c r="F4" s="236" t="s">
        <v>40</v>
      </c>
      <c r="G4" s="239" t="s">
        <v>41</v>
      </c>
      <c r="H4" s="236" t="s">
        <v>42</v>
      </c>
      <c r="I4" s="236" t="s">
        <v>43</v>
      </c>
      <c r="J4" s="323" t="s">
        <v>44</v>
      </c>
      <c r="K4" s="308"/>
      <c r="L4" s="309"/>
      <c r="M4" s="240" t="s">
        <v>5</v>
      </c>
      <c r="N4" s="241" t="s">
        <v>6</v>
      </c>
      <c r="O4" s="242" t="s">
        <v>7</v>
      </c>
      <c r="P4" s="243" t="s">
        <v>5</v>
      </c>
      <c r="Q4" s="244" t="s">
        <v>9</v>
      </c>
      <c r="R4" s="245" t="s">
        <v>10</v>
      </c>
      <c r="S4" s="246" t="s">
        <v>46</v>
      </c>
    </row>
    <row r="5" spans="1:37" ht="35.25" customHeight="1">
      <c r="A5" s="21"/>
      <c r="B5" s="75">
        <v>1</v>
      </c>
      <c r="C5" s="258" t="s">
        <v>692</v>
      </c>
      <c r="D5" s="84" t="s">
        <v>693</v>
      </c>
      <c r="E5" s="259" t="s">
        <v>1008</v>
      </c>
      <c r="F5" s="149" t="s">
        <v>112</v>
      </c>
      <c r="G5" s="149" t="s">
        <v>694</v>
      </c>
      <c r="H5" s="82" t="str">
        <f t="shared" ref="H5:H30" si="0">UPPER(G5)</f>
        <v>PARTICIPAR DE REUNIÃO DE VALIDAÇÃO DO ANTEPROJETO E DO PLANEJAMENTO ESTRATÉGICO DA INICIATIVA NACIONAL DE GENÔMICA E DE MEDICINA DE PRECISÃO</v>
      </c>
      <c r="I5" s="84" t="s">
        <v>72</v>
      </c>
      <c r="J5" s="150">
        <v>43739</v>
      </c>
      <c r="K5" s="84">
        <v>15</v>
      </c>
      <c r="L5" s="84">
        <v>16</v>
      </c>
      <c r="M5" s="274">
        <v>0</v>
      </c>
      <c r="N5" s="274">
        <v>0</v>
      </c>
      <c r="O5" s="274"/>
      <c r="P5" s="275"/>
      <c r="Q5" s="276">
        <f>696.03+694.57</f>
        <v>1390.6</v>
      </c>
      <c r="R5" s="277">
        <v>353.05</v>
      </c>
      <c r="S5" s="278">
        <f t="shared" ref="S5:S30" si="1">M5+N5+O5+P5+Q5+R5</f>
        <v>1743.6499999999999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36.75" customHeight="1">
      <c r="A6" s="21"/>
      <c r="B6" s="86">
        <v>2</v>
      </c>
      <c r="C6" s="260" t="s">
        <v>695</v>
      </c>
      <c r="D6" s="95" t="s">
        <v>696</v>
      </c>
      <c r="E6" s="225" t="s">
        <v>697</v>
      </c>
      <c r="F6" s="93" t="s">
        <v>698</v>
      </c>
      <c r="G6" s="93" t="s">
        <v>544</v>
      </c>
      <c r="H6" s="93" t="str">
        <f t="shared" si="0"/>
        <v>DESEMPENHARÁ CONSULTORIA PARA AS ATIVIDADES DO LABORATÓRIO DE SIMULAÇÃO DO TRÂNSITO (TREINAMENTO DA EQUIPE, DESENVOLVIMENTO DE PROTOCOLOS E ANÁLISE DE DADOS) </v>
      </c>
      <c r="I6" s="93" t="s">
        <v>699</v>
      </c>
      <c r="J6" s="179" t="s">
        <v>700</v>
      </c>
      <c r="K6" s="261">
        <v>43775</v>
      </c>
      <c r="L6" s="261">
        <v>43816</v>
      </c>
      <c r="M6" s="279">
        <v>0</v>
      </c>
      <c r="N6" s="279">
        <v>0</v>
      </c>
      <c r="O6" s="279"/>
      <c r="P6" s="280"/>
      <c r="Q6" s="281">
        <v>6223.38</v>
      </c>
      <c r="R6" s="282">
        <f>2012.5+100.87+2012.5+5.5+2012.5+1725+2012.5+4140+862.5+126.06</f>
        <v>15009.929999999998</v>
      </c>
      <c r="S6" s="283">
        <f t="shared" si="1"/>
        <v>21233.309999999998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ht="39" customHeight="1">
      <c r="A7" s="21"/>
      <c r="B7" s="86">
        <v>3</v>
      </c>
      <c r="C7" s="260" t="s">
        <v>701</v>
      </c>
      <c r="D7" s="95" t="s">
        <v>702</v>
      </c>
      <c r="E7" s="155" t="s">
        <v>1009</v>
      </c>
      <c r="F7" s="93" t="s">
        <v>703</v>
      </c>
      <c r="G7" s="158" t="s">
        <v>704</v>
      </c>
      <c r="H7" s="93" t="str">
        <f t="shared" si="0"/>
        <v>PARTICIPAR 2° WORKSHOP DO PROJETO LEAN NAS EMERGÊNCIAS, PARA OS HOSPITAIS PARTICIPANTES DO PROJETO.</v>
      </c>
      <c r="I7" s="93" t="s">
        <v>316</v>
      </c>
      <c r="J7" s="103">
        <v>43739</v>
      </c>
      <c r="K7" s="95">
        <v>10</v>
      </c>
      <c r="L7" s="177">
        <v>10</v>
      </c>
      <c r="M7" s="279">
        <v>0</v>
      </c>
      <c r="N7" s="279">
        <v>0</v>
      </c>
      <c r="O7" s="279"/>
      <c r="P7" s="280"/>
      <c r="Q7" s="281">
        <v>1493.88</v>
      </c>
      <c r="R7" s="282">
        <v>0</v>
      </c>
      <c r="S7" s="283">
        <f t="shared" si="1"/>
        <v>1493.88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37.5" customHeight="1">
      <c r="A8" s="21"/>
      <c r="B8" s="86">
        <v>4</v>
      </c>
      <c r="C8" s="262" t="s">
        <v>705</v>
      </c>
      <c r="D8" s="95" t="s">
        <v>706</v>
      </c>
      <c r="E8" s="155" t="s">
        <v>1010</v>
      </c>
      <c r="F8" s="93" t="s">
        <v>707</v>
      </c>
      <c r="G8" s="102" t="s">
        <v>704</v>
      </c>
      <c r="H8" s="93" t="str">
        <f t="shared" si="0"/>
        <v>PARTICIPAR 2° WORKSHOP DO PROJETO LEAN NAS EMERGÊNCIAS, PARA OS HOSPITAIS PARTICIPANTES DO PROJETO.</v>
      </c>
      <c r="I8" s="93" t="s">
        <v>316</v>
      </c>
      <c r="J8" s="103">
        <v>43739</v>
      </c>
      <c r="K8" s="95">
        <v>10</v>
      </c>
      <c r="L8" s="177">
        <v>10</v>
      </c>
      <c r="M8" s="279">
        <v>0</v>
      </c>
      <c r="N8" s="279">
        <v>0</v>
      </c>
      <c r="O8" s="279"/>
      <c r="P8" s="280"/>
      <c r="Q8" s="281">
        <v>1493.88</v>
      </c>
      <c r="R8" s="282">
        <v>0</v>
      </c>
      <c r="S8" s="283">
        <f t="shared" si="1"/>
        <v>1493.88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35.25" customHeight="1">
      <c r="A9" s="21"/>
      <c r="B9" s="86">
        <v>5</v>
      </c>
      <c r="C9" s="262" t="s">
        <v>708</v>
      </c>
      <c r="D9" s="95" t="s">
        <v>254</v>
      </c>
      <c r="E9" s="155" t="s">
        <v>922</v>
      </c>
      <c r="F9" s="95" t="s">
        <v>256</v>
      </c>
      <c r="G9" s="102" t="s">
        <v>709</v>
      </c>
      <c r="H9" s="93" t="str">
        <f t="shared" si="0"/>
        <v>PARTICIPAR COMO PALESTRANTE E PARTICIPANTE DO V CONGRESSO BRASILEIRO DE HOSPITAIS UNIVERSITÁRIOS E DE ENSINO - ABRAHUE</v>
      </c>
      <c r="I9" s="93" t="s">
        <v>710</v>
      </c>
      <c r="J9" s="179">
        <v>43800</v>
      </c>
      <c r="K9" s="180">
        <v>2</v>
      </c>
      <c r="L9" s="180">
        <v>4</v>
      </c>
      <c r="M9" s="279">
        <v>145.01</v>
      </c>
      <c r="N9" s="279">
        <v>145.9</v>
      </c>
      <c r="O9" s="279"/>
      <c r="P9" s="280">
        <v>0</v>
      </c>
      <c r="Q9" s="281">
        <f>885.03+481.03+1566</f>
        <v>2932.06</v>
      </c>
      <c r="R9" s="282">
        <v>743.4</v>
      </c>
      <c r="S9" s="283">
        <f t="shared" si="1"/>
        <v>3966.37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35.25" customHeight="1">
      <c r="A10" s="21"/>
      <c r="B10" s="86">
        <v>6</v>
      </c>
      <c r="C10" s="262" t="s">
        <v>711</v>
      </c>
      <c r="D10" s="95" t="s">
        <v>254</v>
      </c>
      <c r="E10" s="155" t="s">
        <v>922</v>
      </c>
      <c r="F10" s="95" t="s">
        <v>256</v>
      </c>
      <c r="G10" s="102" t="s">
        <v>712</v>
      </c>
      <c r="H10" s="93" t="str">
        <f t="shared" si="0"/>
        <v>PARTICIPAR DA CAPACITAÇÃO DA ANAHP - SAÚDE BASEADA NA ENTREGA DE VALOR: O PAPEL DO HOSPITAL COMO INTEGRADOR DO SISTEMA</v>
      </c>
      <c r="I10" s="93" t="s">
        <v>316</v>
      </c>
      <c r="J10" s="179">
        <v>43770</v>
      </c>
      <c r="K10" s="180">
        <v>26</v>
      </c>
      <c r="L10" s="180">
        <v>28</v>
      </c>
      <c r="M10" s="279">
        <v>125.68</v>
      </c>
      <c r="N10" s="279">
        <v>181.7</v>
      </c>
      <c r="O10" s="279"/>
      <c r="P10" s="280">
        <v>0</v>
      </c>
      <c r="Q10" s="281">
        <f>240.03+240.85</f>
        <v>480.88</v>
      </c>
      <c r="R10" s="282">
        <f>1180+92.4</f>
        <v>1272.4000000000001</v>
      </c>
      <c r="S10" s="283">
        <f t="shared" si="1"/>
        <v>2060.66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69" customHeight="1">
      <c r="A11" s="21"/>
      <c r="B11" s="86">
        <v>7</v>
      </c>
      <c r="C11" s="262" t="s">
        <v>713</v>
      </c>
      <c r="D11" s="177" t="s">
        <v>614</v>
      </c>
      <c r="E11" s="155" t="s">
        <v>995</v>
      </c>
      <c r="F11" s="102" t="s">
        <v>615</v>
      </c>
      <c r="G11" s="102" t="s">
        <v>714</v>
      </c>
      <c r="H11" s="93" t="str">
        <f t="shared" si="0"/>
        <v>EXÉRCITO/HAMAM - APOIO À IMPLANTAÇÃO AGHUSE - MÓDULOS REGISTRO DE COLABORADORES, CADASTRO DE PACIENTES, INTERNAÇÃO ADMINISTRATIVO, INTERNAÇÃO ASSISTENCIAL, AMBULATÓRIO ADMINISTRATIVO E AMBULATÓRIO ASSISTENCIAL.</v>
      </c>
      <c r="I11" s="95" t="s">
        <v>131</v>
      </c>
      <c r="J11" s="103">
        <v>43739</v>
      </c>
      <c r="K11" s="95">
        <v>21</v>
      </c>
      <c r="L11" s="95">
        <v>24</v>
      </c>
      <c r="M11" s="279">
        <v>48.42</v>
      </c>
      <c r="N11" s="279">
        <v>294.01</v>
      </c>
      <c r="O11" s="279"/>
      <c r="P11" s="280">
        <v>0</v>
      </c>
      <c r="Q11" s="281">
        <f>932.13+1466.85</f>
        <v>2398.98</v>
      </c>
      <c r="R11" s="282">
        <f>587.52+20</f>
        <v>607.52</v>
      </c>
      <c r="S11" s="283">
        <f t="shared" si="1"/>
        <v>3348.93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72.75" customHeight="1">
      <c r="A12" s="21"/>
      <c r="B12" s="86">
        <v>8</v>
      </c>
      <c r="C12" s="262" t="s">
        <v>715</v>
      </c>
      <c r="D12" s="177" t="s">
        <v>167</v>
      </c>
      <c r="E12" s="155" t="s">
        <v>935</v>
      </c>
      <c r="F12" s="102" t="s">
        <v>101</v>
      </c>
      <c r="G12" s="102" t="s">
        <v>716</v>
      </c>
      <c r="H12" s="93" t="str">
        <f t="shared" si="0"/>
        <v>APOIO À IMPLANTAÇÃO AGHUSE - MÓDULOS REGISTRO DE COLABORADORES, CADASTRO DE PACIENTES, INTERNAÇÃO ADMINISTRATIVO, INTERNAÇÃO ASSISTENCIAL,  AMBULATÓRIO ADMINISTRATIVO E AMBULATÓRIO ASSISTENCIAL.</v>
      </c>
      <c r="I12" s="93" t="s">
        <v>131</v>
      </c>
      <c r="J12" s="179" t="s">
        <v>717</v>
      </c>
      <c r="K12" s="180">
        <v>21</v>
      </c>
      <c r="L12" s="180">
        <v>1</v>
      </c>
      <c r="M12" s="279">
        <v>163.51</v>
      </c>
      <c r="N12" s="279">
        <v>893.01</v>
      </c>
      <c r="O12" s="279"/>
      <c r="P12" s="280">
        <v>0</v>
      </c>
      <c r="Q12" s="281">
        <f t="shared" ref="Q12:Q14" si="2">932.13+902.85</f>
        <v>1834.98</v>
      </c>
      <c r="R12" s="282">
        <f>1958.4+261.5</f>
        <v>2219.9</v>
      </c>
      <c r="S12" s="283">
        <f t="shared" si="1"/>
        <v>5111.3999999999996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48.75" customHeight="1">
      <c r="A13" s="21"/>
      <c r="B13" s="86">
        <v>9</v>
      </c>
      <c r="C13" s="262" t="s">
        <v>718</v>
      </c>
      <c r="D13" s="177" t="s">
        <v>719</v>
      </c>
      <c r="E13" s="155" t="s">
        <v>1011</v>
      </c>
      <c r="F13" s="102" t="s">
        <v>720</v>
      </c>
      <c r="G13" s="102" t="s">
        <v>721</v>
      </c>
      <c r="H13" s="93" t="str">
        <f t="shared" si="0"/>
        <v>VISITA APOIO À IMPLANTAÇÃO AGHUSE DOS MÓDULOS REGISTRO DE COLABORADORES, CADASTRO DE PACIENTES, INTERNAÇÃO E AMBULATÓRIO</v>
      </c>
      <c r="I13" s="93" t="s">
        <v>131</v>
      </c>
      <c r="J13" s="179" t="s">
        <v>717</v>
      </c>
      <c r="K13" s="180">
        <v>21</v>
      </c>
      <c r="L13" s="180">
        <v>1</v>
      </c>
      <c r="M13" s="279">
        <v>194.06</v>
      </c>
      <c r="N13" s="279">
        <v>989.44</v>
      </c>
      <c r="O13" s="279"/>
      <c r="P13" s="280">
        <v>0</v>
      </c>
      <c r="Q13" s="281">
        <f t="shared" si="2"/>
        <v>1834.98</v>
      </c>
      <c r="R13" s="282">
        <f>2154.24+105</f>
        <v>2259.2399999999998</v>
      </c>
      <c r="S13" s="283">
        <f t="shared" si="1"/>
        <v>5277.7199999999993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72" customHeight="1">
      <c r="A14" s="21"/>
      <c r="B14" s="86">
        <v>10</v>
      </c>
      <c r="C14" s="262" t="s">
        <v>722</v>
      </c>
      <c r="D14" s="93" t="s">
        <v>104</v>
      </c>
      <c r="E14" s="155" t="s">
        <v>998</v>
      </c>
      <c r="F14" s="102" t="s">
        <v>641</v>
      </c>
      <c r="G14" s="102" t="s">
        <v>723</v>
      </c>
      <c r="H14" s="93" t="str">
        <f t="shared" si="0"/>
        <v>APOIO À IMPLANTAÇÃO AGHUSE - MÓDULOS REGISTRO DE COLABORADORES, CADASTRO DE PACIENTES, INTERNAÇÃO ADMINISTRATIVO, INTERNAÇÃO ASSISTENCIAL, AMBULATÓRIO ADMINISTRATIVO E AMBULATÓRIO ASSISTENCIAL.</v>
      </c>
      <c r="I14" s="93" t="s">
        <v>131</v>
      </c>
      <c r="J14" s="179" t="s">
        <v>717</v>
      </c>
      <c r="K14" s="180">
        <v>28</v>
      </c>
      <c r="L14" s="180">
        <v>1</v>
      </c>
      <c r="M14" s="279">
        <v>131.11000000000001</v>
      </c>
      <c r="N14" s="279">
        <v>453.07</v>
      </c>
      <c r="O14" s="279"/>
      <c r="P14" s="280">
        <v>0</v>
      </c>
      <c r="Q14" s="281">
        <f t="shared" si="2"/>
        <v>1834.98</v>
      </c>
      <c r="R14" s="282">
        <f>783.36+22</f>
        <v>805.36</v>
      </c>
      <c r="S14" s="283">
        <f t="shared" si="1"/>
        <v>3224.52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ht="12.75" customHeight="1">
      <c r="A15" s="21"/>
      <c r="B15" s="86">
        <v>11</v>
      </c>
      <c r="C15" s="263" t="s">
        <v>724</v>
      </c>
      <c r="D15" s="95" t="s">
        <v>287</v>
      </c>
      <c r="E15" s="155" t="s">
        <v>931</v>
      </c>
      <c r="F15" s="95" t="s">
        <v>725</v>
      </c>
      <c r="G15" s="93" t="s">
        <v>726</v>
      </c>
      <c r="H15" s="93" t="str">
        <f t="shared" si="0"/>
        <v>ASSEMBLÉIA GERAL EXTRAORDINÁRIA</v>
      </c>
      <c r="I15" s="93" t="s">
        <v>290</v>
      </c>
      <c r="J15" s="103">
        <v>43739</v>
      </c>
      <c r="K15" s="95">
        <v>14</v>
      </c>
      <c r="L15" s="95">
        <v>14</v>
      </c>
      <c r="M15" s="279">
        <v>66.930000000000007</v>
      </c>
      <c r="N15" s="279">
        <v>30.5</v>
      </c>
      <c r="O15" s="279"/>
      <c r="P15" s="280">
        <v>0</v>
      </c>
      <c r="Q15" s="281">
        <f>1044.57+1832.03</f>
        <v>2876.6</v>
      </c>
      <c r="R15" s="282">
        <v>0</v>
      </c>
      <c r="S15" s="283">
        <f t="shared" si="1"/>
        <v>2974.0299999999997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12.75" customHeight="1">
      <c r="A16" s="21"/>
      <c r="B16" s="86">
        <v>12</v>
      </c>
      <c r="C16" s="260" t="s">
        <v>727</v>
      </c>
      <c r="D16" s="95" t="s">
        <v>343</v>
      </c>
      <c r="E16" s="155" t="s">
        <v>1000</v>
      </c>
      <c r="F16" s="92" t="s">
        <v>658</v>
      </c>
      <c r="G16" s="102" t="s">
        <v>728</v>
      </c>
      <c r="H16" s="93" t="str">
        <f t="shared" si="0"/>
        <v>PARTICIPAÇÃO NO 10º FÓRUM BRASILEIRO DA ATIVIDADE DE AUDITORIA INTERNA GOVERNAMENTAL</v>
      </c>
      <c r="I16" s="93" t="s">
        <v>72</v>
      </c>
      <c r="J16" s="103">
        <v>43739</v>
      </c>
      <c r="K16" s="95">
        <v>15</v>
      </c>
      <c r="L16" s="177">
        <v>17</v>
      </c>
      <c r="M16" s="279">
        <v>82.31</v>
      </c>
      <c r="N16" s="279">
        <v>201.69</v>
      </c>
      <c r="O16" s="279"/>
      <c r="P16" s="280">
        <v>0</v>
      </c>
      <c r="Q16" s="281">
        <v>2504.6</v>
      </c>
      <c r="R16" s="282">
        <f>91.3+625.6</f>
        <v>716.9</v>
      </c>
      <c r="S16" s="283">
        <f t="shared" si="1"/>
        <v>3505.5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15.75" customHeight="1">
      <c r="A17" s="21"/>
      <c r="B17" s="86">
        <v>13</v>
      </c>
      <c r="C17" s="263" t="s">
        <v>729</v>
      </c>
      <c r="D17" s="95" t="s">
        <v>147</v>
      </c>
      <c r="E17" s="155" t="s">
        <v>902</v>
      </c>
      <c r="F17" s="95" t="s">
        <v>587</v>
      </c>
      <c r="G17" s="93" t="s">
        <v>588</v>
      </c>
      <c r="H17" s="93" t="str">
        <f t="shared" si="0"/>
        <v>REUNIÃO DO CONSELHO DA ADMINISTRAÇÃO</v>
      </c>
      <c r="I17" s="93" t="s">
        <v>179</v>
      </c>
      <c r="J17" s="103">
        <v>43739</v>
      </c>
      <c r="K17" s="95">
        <v>28</v>
      </c>
      <c r="L17" s="95">
        <v>28</v>
      </c>
      <c r="M17" s="279">
        <v>0</v>
      </c>
      <c r="N17" s="279">
        <v>0</v>
      </c>
      <c r="O17" s="279"/>
      <c r="P17" s="280">
        <v>0</v>
      </c>
      <c r="Q17" s="281">
        <f>547.59+1552.03</f>
        <v>2099.62</v>
      </c>
      <c r="R17" s="282">
        <v>0</v>
      </c>
      <c r="S17" s="283">
        <f t="shared" si="1"/>
        <v>2099.62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12.75" customHeight="1">
      <c r="A18" s="21"/>
      <c r="B18" s="86">
        <v>14</v>
      </c>
      <c r="C18" s="260" t="s">
        <v>730</v>
      </c>
      <c r="D18" s="95" t="s">
        <v>293</v>
      </c>
      <c r="E18" s="155" t="s">
        <v>932</v>
      </c>
      <c r="F18" s="95" t="s">
        <v>597</v>
      </c>
      <c r="G18" s="93" t="s">
        <v>731</v>
      </c>
      <c r="H18" s="93" t="str">
        <f t="shared" si="0"/>
        <v>PARTICIPAÇÃO NO 51º FONAITEC.</v>
      </c>
      <c r="I18" s="93" t="s">
        <v>316</v>
      </c>
      <c r="J18" s="103">
        <v>43739</v>
      </c>
      <c r="K18" s="95">
        <v>22</v>
      </c>
      <c r="L18" s="95">
        <v>25</v>
      </c>
      <c r="M18" s="279">
        <v>97</v>
      </c>
      <c r="N18" s="279">
        <v>369.36</v>
      </c>
      <c r="O18" s="279"/>
      <c r="P18" s="280"/>
      <c r="Q18" s="281">
        <f>629.03+602.85</f>
        <v>1231.8800000000001</v>
      </c>
      <c r="R18" s="282">
        <v>882</v>
      </c>
      <c r="S18" s="283">
        <f t="shared" si="1"/>
        <v>2580.2400000000002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2.75" customHeight="1">
      <c r="A19" s="21"/>
      <c r="B19" s="86">
        <v>15</v>
      </c>
      <c r="C19" s="260" t="s">
        <v>732</v>
      </c>
      <c r="D19" s="95" t="s">
        <v>110</v>
      </c>
      <c r="E19" s="155" t="s">
        <v>940</v>
      </c>
      <c r="F19" s="95" t="s">
        <v>560</v>
      </c>
      <c r="G19" s="102" t="s">
        <v>733</v>
      </c>
      <c r="H19" s="93" t="str">
        <f t="shared" si="0"/>
        <v>PARTICIPAR V CONGRESSO DA ASSOCIAÇÃO BRASILEIRA DE HOSPITAIS UNIVERSITÁRIOS E DE ENSINO - ABRAHUE.</v>
      </c>
      <c r="I19" s="95" t="s">
        <v>710</v>
      </c>
      <c r="J19" s="179">
        <v>43800</v>
      </c>
      <c r="K19" s="180">
        <v>2</v>
      </c>
      <c r="L19" s="180">
        <v>4</v>
      </c>
      <c r="M19" s="279">
        <v>121.66</v>
      </c>
      <c r="N19" s="279">
        <v>82.5</v>
      </c>
      <c r="O19" s="279"/>
      <c r="P19" s="280"/>
      <c r="Q19" s="281">
        <v>1568.06</v>
      </c>
      <c r="R19" s="282">
        <v>743.4</v>
      </c>
      <c r="S19" s="283">
        <f t="shared" si="1"/>
        <v>2515.62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12.75" customHeight="1">
      <c r="A20" s="21"/>
      <c r="B20" s="86">
        <v>16</v>
      </c>
      <c r="C20" s="263" t="s">
        <v>734</v>
      </c>
      <c r="D20" s="95" t="s">
        <v>445</v>
      </c>
      <c r="E20" s="155" t="s">
        <v>969</v>
      </c>
      <c r="F20" s="95" t="s">
        <v>587</v>
      </c>
      <c r="G20" s="93" t="s">
        <v>588</v>
      </c>
      <c r="H20" s="93" t="str">
        <f t="shared" si="0"/>
        <v>REUNIÃO DO CONSELHO DA ADMINISTRAÇÃO</v>
      </c>
      <c r="I20" s="93" t="s">
        <v>52</v>
      </c>
      <c r="J20" s="103">
        <v>43739</v>
      </c>
      <c r="K20" s="95">
        <v>28</v>
      </c>
      <c r="L20" s="95">
        <v>28</v>
      </c>
      <c r="M20" s="279">
        <v>0</v>
      </c>
      <c r="N20" s="279">
        <v>0</v>
      </c>
      <c r="O20" s="279"/>
      <c r="P20" s="280">
        <v>0</v>
      </c>
      <c r="Q20" s="281">
        <f>1843.57+1947.03</f>
        <v>3790.6</v>
      </c>
      <c r="R20" s="282">
        <v>0</v>
      </c>
      <c r="S20" s="283">
        <f t="shared" si="1"/>
        <v>3790.6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ht="12.75" customHeight="1">
      <c r="A21" s="21"/>
      <c r="B21" s="86">
        <v>17</v>
      </c>
      <c r="C21" s="260" t="s">
        <v>735</v>
      </c>
      <c r="D21" s="95" t="s">
        <v>736</v>
      </c>
      <c r="E21" s="155" t="s">
        <v>1012</v>
      </c>
      <c r="F21" s="95" t="s">
        <v>737</v>
      </c>
      <c r="G21" s="93" t="s">
        <v>738</v>
      </c>
      <c r="H21" s="93" t="str">
        <f t="shared" si="0"/>
        <v>REUNIÃO NA SENAD PARA TRATAR DA REVISÃO DO PROJETO DOS DROGÔMETROS E ATUALIZAÇÃO DO PROJETO ATUAL</v>
      </c>
      <c r="I21" s="93" t="s">
        <v>52</v>
      </c>
      <c r="J21" s="103">
        <v>43740</v>
      </c>
      <c r="K21" s="95">
        <v>21</v>
      </c>
      <c r="L21" s="95">
        <v>22</v>
      </c>
      <c r="M21" s="279">
        <v>0</v>
      </c>
      <c r="N21" s="279">
        <v>0</v>
      </c>
      <c r="O21" s="279"/>
      <c r="P21" s="280">
        <v>0</v>
      </c>
      <c r="Q21" s="281">
        <f>912.03+910.57</f>
        <v>1822.6</v>
      </c>
      <c r="R21" s="282">
        <f>312.8+13.2</f>
        <v>326</v>
      </c>
      <c r="S21" s="283">
        <f t="shared" si="1"/>
        <v>2148.6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ht="25.5" customHeight="1">
      <c r="A22" s="21"/>
      <c r="B22" s="86">
        <v>18</v>
      </c>
      <c r="C22" s="260" t="s">
        <v>739</v>
      </c>
      <c r="D22" s="95" t="s">
        <v>740</v>
      </c>
      <c r="E22" s="155" t="s">
        <v>1013</v>
      </c>
      <c r="F22" s="95" t="s">
        <v>741</v>
      </c>
      <c r="G22" s="93" t="s">
        <v>742</v>
      </c>
      <c r="H22" s="93" t="str">
        <f t="shared" si="0"/>
        <v>PARTICIPAR NO SEMINÁRIO NACIONAL DE OBRAS PÚBLICAS E MANUTENÇÃO PREDIAL</v>
      </c>
      <c r="I22" s="93" t="s">
        <v>72</v>
      </c>
      <c r="J22" s="179">
        <v>43770</v>
      </c>
      <c r="K22" s="180">
        <v>3</v>
      </c>
      <c r="L22" s="180">
        <v>6</v>
      </c>
      <c r="M22" s="279">
        <v>0</v>
      </c>
      <c r="N22" s="279">
        <v>121.09</v>
      </c>
      <c r="O22" s="279"/>
      <c r="P22" s="280"/>
      <c r="Q22" s="281">
        <v>1692.6</v>
      </c>
      <c r="R22" s="282">
        <f>1031.55+19.8</f>
        <v>1051.3499999999999</v>
      </c>
      <c r="S22" s="283">
        <f t="shared" si="1"/>
        <v>2865.04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ht="12.75" customHeight="1">
      <c r="A23" s="21"/>
      <c r="B23" s="86">
        <v>19</v>
      </c>
      <c r="C23" s="260" t="s">
        <v>743</v>
      </c>
      <c r="D23" s="95" t="s">
        <v>744</v>
      </c>
      <c r="E23" s="155" t="s">
        <v>1014</v>
      </c>
      <c r="F23" s="102" t="s">
        <v>745</v>
      </c>
      <c r="G23" s="102" t="s">
        <v>746</v>
      </c>
      <c r="H23" s="93" t="str">
        <f t="shared" si="0"/>
        <v>PARTICIPAR DA CAPACITAÇÃO DA ANAHP - SAÚDE BASEADA NA ENTREGA DE VALOR: O PAPEL DO HOSPITAL COMO INTEGRADOR DO SISTEMA</v>
      </c>
      <c r="I23" s="93" t="s">
        <v>316</v>
      </c>
      <c r="J23" s="179">
        <v>43770</v>
      </c>
      <c r="K23" s="180">
        <v>26</v>
      </c>
      <c r="L23" s="180">
        <v>28</v>
      </c>
      <c r="M23" s="279">
        <v>0</v>
      </c>
      <c r="N23" s="279">
        <v>190</v>
      </c>
      <c r="O23" s="279"/>
      <c r="P23" s="280">
        <f>29+29</f>
        <v>58</v>
      </c>
      <c r="Q23" s="281">
        <f>353.94+261.85</f>
        <v>615.79</v>
      </c>
      <c r="R23" s="282">
        <f>1236.9+191.4</f>
        <v>1428.3000000000002</v>
      </c>
      <c r="S23" s="283">
        <f t="shared" si="1"/>
        <v>2292.09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ht="12.75" customHeight="1">
      <c r="A24" s="21"/>
      <c r="B24" s="86">
        <v>20</v>
      </c>
      <c r="C24" s="260" t="s">
        <v>747</v>
      </c>
      <c r="D24" s="177" t="s">
        <v>355</v>
      </c>
      <c r="E24" s="155" t="s">
        <v>967</v>
      </c>
      <c r="F24" s="102" t="s">
        <v>356</v>
      </c>
      <c r="G24" s="93" t="s">
        <v>748</v>
      </c>
      <c r="H24" s="93" t="str">
        <f t="shared" si="0"/>
        <v>MINISTRAR TREINAMENTO PROJETO AGHUSE.</v>
      </c>
      <c r="I24" s="93" t="s">
        <v>131</v>
      </c>
      <c r="J24" s="179">
        <v>43770</v>
      </c>
      <c r="K24" s="180">
        <v>11</v>
      </c>
      <c r="L24" s="180">
        <v>14</v>
      </c>
      <c r="M24" s="279">
        <v>182.12</v>
      </c>
      <c r="N24" s="279">
        <v>45.1</v>
      </c>
      <c r="O24" s="279"/>
      <c r="P24" s="280">
        <v>0</v>
      </c>
      <c r="Q24" s="281">
        <f>1401.13+1526.85</f>
        <v>2927.98</v>
      </c>
      <c r="R24" s="282">
        <f>61+587.52</f>
        <v>648.52</v>
      </c>
      <c r="S24" s="283">
        <f t="shared" si="1"/>
        <v>3803.72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ht="12.75" customHeight="1">
      <c r="A25" s="21"/>
      <c r="B25" s="86">
        <v>21</v>
      </c>
      <c r="C25" s="260" t="s">
        <v>749</v>
      </c>
      <c r="D25" s="95" t="s">
        <v>192</v>
      </c>
      <c r="E25" s="155" t="s">
        <v>908</v>
      </c>
      <c r="F25" s="102" t="s">
        <v>193</v>
      </c>
      <c r="G25" s="102" t="s">
        <v>750</v>
      </c>
      <c r="H25" s="93" t="str">
        <f t="shared" si="0"/>
        <v>AUDIÊNCIA AGENDA ANO TCU</v>
      </c>
      <c r="I25" s="93" t="s">
        <v>72</v>
      </c>
      <c r="J25" s="103">
        <v>43739</v>
      </c>
      <c r="K25" s="95">
        <v>30</v>
      </c>
      <c r="L25" s="95">
        <v>31</v>
      </c>
      <c r="M25" s="279">
        <v>0</v>
      </c>
      <c r="N25" s="279">
        <v>89.5</v>
      </c>
      <c r="O25" s="279"/>
      <c r="P25" s="280">
        <v>45</v>
      </c>
      <c r="Q25" s="281">
        <f t="shared" ref="Q25:Q28" si="3">1179.03+1669.57</f>
        <v>2848.6</v>
      </c>
      <c r="R25" s="282">
        <f>288.2+5.5</f>
        <v>293.7</v>
      </c>
      <c r="S25" s="283">
        <f t="shared" si="1"/>
        <v>3276.7999999999997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ht="12.75" customHeight="1">
      <c r="A26" s="21"/>
      <c r="B26" s="86">
        <v>22</v>
      </c>
      <c r="C26" s="260" t="s">
        <v>751</v>
      </c>
      <c r="D26" s="95" t="s">
        <v>196</v>
      </c>
      <c r="E26" s="155" t="s">
        <v>909</v>
      </c>
      <c r="F26" s="102" t="s">
        <v>197</v>
      </c>
      <c r="G26" s="102" t="s">
        <v>750</v>
      </c>
      <c r="H26" s="93" t="str">
        <f t="shared" si="0"/>
        <v>AUDIÊNCIA AGENDA ANO TCU</v>
      </c>
      <c r="I26" s="93" t="s">
        <v>72</v>
      </c>
      <c r="J26" s="103">
        <v>43739</v>
      </c>
      <c r="K26" s="95">
        <v>30</v>
      </c>
      <c r="L26" s="95">
        <v>31</v>
      </c>
      <c r="M26" s="279">
        <v>0</v>
      </c>
      <c r="N26" s="279">
        <v>177.91</v>
      </c>
      <c r="O26" s="279"/>
      <c r="P26" s="280">
        <v>29.4</v>
      </c>
      <c r="Q26" s="281">
        <f t="shared" si="3"/>
        <v>2848.6</v>
      </c>
      <c r="R26" s="282">
        <f>288.2+11</f>
        <v>299.2</v>
      </c>
      <c r="S26" s="283">
        <f t="shared" si="1"/>
        <v>3355.1099999999997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ht="12.75" customHeight="1">
      <c r="A27" s="21"/>
      <c r="B27" s="86">
        <v>23</v>
      </c>
      <c r="C27" s="260" t="s">
        <v>752</v>
      </c>
      <c r="D27" s="95" t="s">
        <v>127</v>
      </c>
      <c r="E27" s="155" t="s">
        <v>1014</v>
      </c>
      <c r="F27" s="102" t="s">
        <v>482</v>
      </c>
      <c r="G27" s="102" t="s">
        <v>753</v>
      </c>
      <c r="H27" s="93" t="str">
        <f t="shared" si="0"/>
        <v>PARTICIPAR DA SEGUNDA REUNIÃO NO TCU, JUNTAMENTE COM OS ADVOGADOS DO HCPA, PARA DEFESA DO EDITAL N.º 0395/2019.</v>
      </c>
      <c r="I27" s="93" t="s">
        <v>72</v>
      </c>
      <c r="J27" s="103">
        <v>43739</v>
      </c>
      <c r="K27" s="95">
        <v>30</v>
      </c>
      <c r="L27" s="95">
        <v>31</v>
      </c>
      <c r="M27" s="279">
        <v>198.44</v>
      </c>
      <c r="N27" s="279">
        <v>148.15</v>
      </c>
      <c r="O27" s="279"/>
      <c r="P27" s="280"/>
      <c r="Q27" s="281">
        <f t="shared" si="3"/>
        <v>2848.6</v>
      </c>
      <c r="R27" s="282">
        <f>288.2+16.5</f>
        <v>304.7</v>
      </c>
      <c r="S27" s="283">
        <f t="shared" si="1"/>
        <v>3499.89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7" ht="12.75" customHeight="1">
      <c r="A28" s="21"/>
      <c r="B28" s="86">
        <v>24</v>
      </c>
      <c r="C28" s="260" t="s">
        <v>754</v>
      </c>
      <c r="D28" s="95" t="s">
        <v>755</v>
      </c>
      <c r="E28" s="155" t="s">
        <v>1015</v>
      </c>
      <c r="F28" s="102" t="s">
        <v>756</v>
      </c>
      <c r="G28" s="102" t="s">
        <v>753</v>
      </c>
      <c r="H28" s="93" t="str">
        <f t="shared" si="0"/>
        <v>PARTICIPAR DA SEGUNDA REUNIÃO NO TCU, JUNTAMENTE COM OS ADVOGADOS DO HCPA, PARA DEFESA DO EDITAL N.º 0395/2019.</v>
      </c>
      <c r="I28" s="93" t="s">
        <v>72</v>
      </c>
      <c r="J28" s="103">
        <v>43739</v>
      </c>
      <c r="K28" s="95">
        <v>30</v>
      </c>
      <c r="L28" s="95">
        <v>31</v>
      </c>
      <c r="M28" s="279">
        <v>0</v>
      </c>
      <c r="N28" s="279">
        <v>138.93</v>
      </c>
      <c r="O28" s="279"/>
      <c r="P28" s="280"/>
      <c r="Q28" s="281">
        <f t="shared" si="3"/>
        <v>2848.6</v>
      </c>
      <c r="R28" s="282">
        <v>288.2</v>
      </c>
      <c r="S28" s="283">
        <f t="shared" si="1"/>
        <v>3275.7299999999996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ht="24" customHeight="1">
      <c r="A29" s="21"/>
      <c r="B29" s="86">
        <v>25</v>
      </c>
      <c r="C29" s="260" t="s">
        <v>757</v>
      </c>
      <c r="D29" s="95" t="s">
        <v>758</v>
      </c>
      <c r="E29" s="264" t="s">
        <v>759</v>
      </c>
      <c r="F29" s="93" t="s">
        <v>584</v>
      </c>
      <c r="G29" s="158" t="s">
        <v>760</v>
      </c>
      <c r="H29" s="93" t="str">
        <f t="shared" si="0"/>
        <v>MINISTRAR PALESTRA SOBRE  PROTEÇÃO DE DADOS PESSOAIS NA UNIÃO EUROPEIA E A INTELIGÊNCIA ARTIFICIAL NA ÁREA DA SAÚDE .</v>
      </c>
      <c r="I29" s="93" t="s">
        <v>761</v>
      </c>
      <c r="J29" s="179">
        <v>43770</v>
      </c>
      <c r="K29" s="180">
        <v>5</v>
      </c>
      <c r="L29" s="180">
        <v>9</v>
      </c>
      <c r="M29" s="279">
        <v>0</v>
      </c>
      <c r="N29" s="279">
        <v>0</v>
      </c>
      <c r="O29" s="279"/>
      <c r="P29" s="280">
        <v>0</v>
      </c>
      <c r="Q29" s="281">
        <v>0</v>
      </c>
      <c r="R29" s="282">
        <v>1596.08</v>
      </c>
      <c r="S29" s="283">
        <f t="shared" si="1"/>
        <v>1596.08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ht="12.75" customHeight="1">
      <c r="A30" s="21"/>
      <c r="B30" s="106"/>
      <c r="C30" s="265"/>
      <c r="D30" s="108"/>
      <c r="E30" s="108"/>
      <c r="F30" s="108"/>
      <c r="G30" s="108"/>
      <c r="H30" s="108" t="str">
        <f t="shared" si="0"/>
        <v/>
      </c>
      <c r="I30" s="113"/>
      <c r="J30" s="114"/>
      <c r="K30" s="115"/>
      <c r="L30" s="115"/>
      <c r="M30" s="116"/>
      <c r="N30" s="116"/>
      <c r="O30" s="116"/>
      <c r="P30" s="231"/>
      <c r="Q30" s="117"/>
      <c r="R30" s="118"/>
      <c r="S30" s="119">
        <f t="shared" si="1"/>
        <v>0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ht="24.75" customHeight="1">
      <c r="A31" s="41"/>
      <c r="B31" s="41"/>
      <c r="C31" s="41"/>
      <c r="D31" s="41"/>
      <c r="E31" s="41"/>
      <c r="F31" s="41"/>
      <c r="G31" s="41"/>
      <c r="H31" s="41"/>
      <c r="I31" s="125"/>
      <c r="J31" s="41"/>
      <c r="K31" s="34"/>
      <c r="L31" s="41"/>
      <c r="M31" s="170">
        <f t="shared" ref="M31:R31" si="4">SUM(M5:M30)</f>
        <v>1556.25</v>
      </c>
      <c r="N31" s="170">
        <f t="shared" si="4"/>
        <v>4551.8600000000006</v>
      </c>
      <c r="O31" s="170">
        <f t="shared" si="4"/>
        <v>0</v>
      </c>
      <c r="P31" s="192">
        <f t="shared" si="4"/>
        <v>132.4</v>
      </c>
      <c r="Q31" s="232">
        <f t="shared" si="4"/>
        <v>54443.329999999994</v>
      </c>
      <c r="R31" s="233">
        <f t="shared" si="4"/>
        <v>31849.150000000009</v>
      </c>
      <c r="S31" s="234">
        <f>SUM(S5:S30)+P32</f>
        <v>92534.313999999998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37" ht="24.75" customHeight="1">
      <c r="A32" s="47"/>
      <c r="B32" s="47"/>
      <c r="C32" s="47"/>
      <c r="D32" s="310"/>
      <c r="E32" s="306"/>
      <c r="F32" s="306"/>
      <c r="G32" s="306"/>
      <c r="H32" s="306"/>
      <c r="I32" s="306"/>
      <c r="J32" s="306"/>
      <c r="K32" s="306"/>
      <c r="L32" s="47"/>
      <c r="M32" s="48"/>
      <c r="N32" s="48"/>
      <c r="O32" s="130" t="s">
        <v>94</v>
      </c>
      <c r="P32" s="22">
        <f>P31*1%</f>
        <v>1.3240000000000001</v>
      </c>
      <c r="Q32" s="47"/>
      <c r="R32" s="47"/>
      <c r="S32" s="52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1:37" ht="24.75" customHeight="1">
      <c r="A33" s="47"/>
      <c r="B33" s="47"/>
      <c r="C33" s="47"/>
      <c r="D33" s="256" t="s">
        <v>95</v>
      </c>
      <c r="E33" s="257"/>
      <c r="F33" s="257"/>
      <c r="G33" s="257"/>
      <c r="H33" s="257"/>
      <c r="I33" s="50"/>
      <c r="J33" s="47"/>
      <c r="K33" s="47"/>
      <c r="L33" s="47"/>
      <c r="M33" s="48"/>
      <c r="N33" s="48"/>
      <c r="O33" s="48"/>
      <c r="P33" s="131">
        <f>P31+P32</f>
        <v>133.72400000000002</v>
      </c>
      <c r="Q33" s="51"/>
      <c r="R33" s="52"/>
      <c r="S33" s="132" t="s">
        <v>96</v>
      </c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spans="1:37" ht="24.75" customHeight="1">
      <c r="A34" s="47"/>
      <c r="B34" s="47"/>
      <c r="C34" s="47"/>
      <c r="D34" s="311"/>
      <c r="E34" s="306"/>
      <c r="F34" s="306"/>
      <c r="G34" s="306"/>
      <c r="H34" s="306"/>
      <c r="I34" s="306"/>
      <c r="J34" s="306"/>
      <c r="K34" s="306"/>
      <c r="L34" s="47"/>
      <c r="M34" s="48"/>
      <c r="N34" s="48"/>
      <c r="O34" s="48"/>
      <c r="P34" s="22"/>
      <c r="Q34" s="4" t="s">
        <v>26</v>
      </c>
      <c r="R34" s="133">
        <f>M31+N31+O31+P33+Q31+R31</f>
        <v>92534.314000000013</v>
      </c>
      <c r="S34" s="56">
        <f>S31-R34</f>
        <v>0</v>
      </c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</row>
    <row r="35" spans="1:37" ht="24.75" customHeight="1">
      <c r="C35" s="1"/>
      <c r="D35" s="1"/>
      <c r="E35" s="1"/>
      <c r="F35" s="1"/>
      <c r="G35" s="1"/>
      <c r="H35" s="1"/>
      <c r="I35" s="2"/>
      <c r="J35" s="63"/>
      <c r="K35" s="63"/>
      <c r="L35" s="63"/>
      <c r="M35" s="3"/>
      <c r="N35" s="3"/>
      <c r="O35" s="130" t="s">
        <v>94</v>
      </c>
      <c r="P35" s="22" t="s">
        <v>97</v>
      </c>
      <c r="Q35" s="4"/>
      <c r="R35" s="5"/>
      <c r="S35" s="5"/>
    </row>
    <row r="36" spans="1:37" ht="24.75" customHeight="1">
      <c r="C36" s="1"/>
      <c r="D36" s="1"/>
      <c r="E36" s="1"/>
      <c r="F36" s="1"/>
      <c r="G36" s="1"/>
      <c r="H36" s="1"/>
      <c r="I36" s="2"/>
      <c r="J36" s="63"/>
      <c r="K36" s="63"/>
      <c r="L36" s="63"/>
      <c r="M36" s="3"/>
      <c r="N36" s="3"/>
      <c r="O36" s="3"/>
      <c r="P36" s="22"/>
      <c r="Q36" s="4"/>
      <c r="R36" s="5"/>
      <c r="S36" s="5"/>
    </row>
    <row r="37" spans="1:37" ht="24.75" customHeight="1">
      <c r="C37" s="1"/>
      <c r="D37" s="1"/>
      <c r="E37" s="1"/>
      <c r="F37" s="1"/>
      <c r="G37" s="1"/>
      <c r="H37" s="1"/>
      <c r="I37" s="2"/>
      <c r="J37" s="63"/>
      <c r="K37" s="63"/>
      <c r="L37" s="63"/>
      <c r="M37" s="3"/>
      <c r="N37" s="3"/>
      <c r="O37" s="3"/>
      <c r="P37" s="22"/>
      <c r="Q37" s="4"/>
      <c r="R37" s="5"/>
      <c r="S37" s="5"/>
    </row>
    <row r="38" spans="1:37" ht="24.75" customHeight="1">
      <c r="C38" s="1"/>
      <c r="D38" s="1"/>
      <c r="E38" s="1"/>
      <c r="F38" s="1"/>
      <c r="G38" s="1"/>
      <c r="H38" s="1"/>
      <c r="I38" s="2"/>
      <c r="J38" s="63"/>
      <c r="K38" s="63"/>
      <c r="L38" s="63"/>
      <c r="M38" s="3"/>
      <c r="N38" s="3"/>
      <c r="O38" s="3"/>
      <c r="P38" s="22"/>
      <c r="Q38" s="4"/>
      <c r="R38" s="5"/>
      <c r="S38" s="5"/>
    </row>
    <row r="39" spans="1:37" ht="24.75" customHeight="1">
      <c r="C39" s="1"/>
      <c r="D39" s="1"/>
      <c r="E39" s="1"/>
      <c r="F39" s="1"/>
      <c r="G39" s="1"/>
      <c r="H39" s="1"/>
      <c r="I39" s="2"/>
      <c r="J39" s="63"/>
      <c r="K39" s="63"/>
      <c r="L39" s="63"/>
      <c r="M39" s="3"/>
      <c r="N39" s="3"/>
      <c r="O39" s="3"/>
      <c r="P39" s="22"/>
      <c r="Q39" s="4"/>
      <c r="R39" s="5"/>
      <c r="S39" s="5"/>
    </row>
    <row r="40" spans="1:37" ht="24.75" customHeight="1">
      <c r="C40" s="1"/>
      <c r="D40" s="1"/>
      <c r="E40" s="1"/>
      <c r="F40" s="1"/>
      <c r="G40" s="1"/>
      <c r="H40" s="1"/>
      <c r="I40" s="2"/>
      <c r="J40" s="63"/>
      <c r="K40" s="63"/>
      <c r="L40" s="63"/>
      <c r="M40" s="3"/>
      <c r="N40" s="3"/>
      <c r="O40" s="3"/>
      <c r="P40" s="22"/>
      <c r="Q40" s="4"/>
      <c r="R40" s="5"/>
      <c r="S40" s="5"/>
    </row>
    <row r="41" spans="1:37" ht="24.75" customHeight="1">
      <c r="C41" s="1"/>
      <c r="D41" s="1"/>
      <c r="E41" s="1"/>
      <c r="F41" s="1"/>
      <c r="G41" s="1"/>
      <c r="H41" s="1"/>
      <c r="I41" s="2"/>
      <c r="J41" s="63"/>
      <c r="K41" s="63"/>
      <c r="L41" s="63"/>
      <c r="M41" s="3"/>
      <c r="N41" s="3"/>
      <c r="O41" s="3"/>
      <c r="P41" s="22"/>
      <c r="Q41" s="4"/>
      <c r="R41" s="5"/>
      <c r="S41" s="5"/>
    </row>
    <row r="42" spans="1:37" ht="24.75" customHeight="1">
      <c r="C42" s="1"/>
      <c r="D42" s="1"/>
      <c r="E42" s="1"/>
      <c r="F42" s="1"/>
      <c r="G42" s="1"/>
      <c r="H42" s="1"/>
      <c r="I42" s="2"/>
      <c r="J42" s="63"/>
      <c r="K42" s="63"/>
      <c r="L42" s="63"/>
      <c r="M42" s="3"/>
      <c r="N42" s="3"/>
      <c r="O42" s="3"/>
      <c r="P42" s="22"/>
      <c r="Q42" s="4"/>
      <c r="R42" s="5"/>
      <c r="S42" s="5"/>
    </row>
    <row r="43" spans="1:37" ht="24.75" customHeight="1">
      <c r="C43" s="1"/>
      <c r="I43" s="2"/>
      <c r="J43" s="63"/>
      <c r="K43" s="63"/>
      <c r="L43" s="63"/>
      <c r="M43" s="3"/>
      <c r="N43" s="3"/>
      <c r="O43" s="3"/>
      <c r="P43" s="22"/>
      <c r="Q43" s="4"/>
      <c r="R43" s="5"/>
      <c r="S43" s="5"/>
    </row>
    <row r="44" spans="1:37" ht="24.75" customHeight="1">
      <c r="C44" s="1"/>
      <c r="D44" s="1"/>
      <c r="E44" s="1"/>
      <c r="F44" s="1"/>
      <c r="G44" s="1"/>
      <c r="H44" s="1"/>
      <c r="I44" s="2"/>
      <c r="J44" s="63"/>
      <c r="K44" s="63"/>
      <c r="L44" s="63"/>
      <c r="M44" s="3"/>
      <c r="N44" s="3"/>
      <c r="O44" s="3"/>
      <c r="P44" s="22"/>
      <c r="Q44" s="4"/>
      <c r="R44" s="5"/>
      <c r="S44" s="5"/>
    </row>
    <row r="45" spans="1:37" ht="24.75" customHeight="1">
      <c r="C45" s="1"/>
      <c r="D45" s="1"/>
      <c r="E45" s="1"/>
      <c r="F45" s="1"/>
      <c r="G45" s="1"/>
      <c r="H45" s="1"/>
      <c r="I45" s="2"/>
      <c r="J45" s="63"/>
      <c r="K45" s="63"/>
      <c r="L45" s="63"/>
      <c r="M45" s="3"/>
      <c r="N45" s="3"/>
      <c r="O45" s="3"/>
      <c r="P45" s="134"/>
      <c r="Q45" s="4"/>
      <c r="R45" s="5"/>
      <c r="S45" s="5"/>
    </row>
    <row r="46" spans="1:37" ht="24.75" customHeight="1">
      <c r="C46" s="1"/>
      <c r="D46" s="1"/>
      <c r="E46" s="1"/>
      <c r="F46" s="1"/>
      <c r="G46" s="1"/>
      <c r="H46" s="1"/>
      <c r="I46" s="2"/>
      <c r="J46" s="63"/>
      <c r="K46" s="63"/>
      <c r="L46" s="63"/>
      <c r="M46" s="3"/>
      <c r="N46" s="3"/>
      <c r="O46" s="3"/>
      <c r="P46" s="47"/>
    </row>
    <row r="47" spans="1:37" ht="24.75" customHeight="1">
      <c r="C47" s="1"/>
      <c r="D47" s="1"/>
      <c r="E47" s="1"/>
      <c r="F47" s="1"/>
      <c r="G47" s="1"/>
      <c r="H47" s="1"/>
      <c r="I47" s="2"/>
      <c r="J47" s="63"/>
      <c r="K47" s="63"/>
      <c r="L47" s="63"/>
      <c r="M47" s="3"/>
      <c r="N47" s="3"/>
      <c r="O47" s="3"/>
      <c r="P47" s="47"/>
    </row>
    <row r="48" spans="1:37" ht="24.75" customHeight="1">
      <c r="C48" s="1"/>
      <c r="D48" s="1"/>
      <c r="E48" s="1"/>
      <c r="F48" s="1"/>
      <c r="G48" s="1"/>
      <c r="H48" s="1"/>
      <c r="I48" s="2"/>
      <c r="J48" s="63"/>
      <c r="K48" s="63"/>
      <c r="L48" s="63"/>
      <c r="M48" s="3"/>
      <c r="N48" s="3"/>
      <c r="O48" s="3"/>
      <c r="P48" s="47"/>
    </row>
    <row r="49" spans="3:15" ht="24.75" customHeight="1">
      <c r="C49" s="1"/>
      <c r="D49" s="1"/>
      <c r="E49" s="1"/>
      <c r="F49" s="1"/>
      <c r="G49" s="1"/>
      <c r="H49" s="1"/>
      <c r="I49" s="2"/>
      <c r="J49" s="63"/>
      <c r="K49" s="63"/>
      <c r="L49" s="63"/>
      <c r="M49" s="3"/>
      <c r="N49" s="3"/>
      <c r="O49" s="3"/>
    </row>
    <row r="50" spans="3:15" ht="24.75" customHeight="1">
      <c r="C50" s="1"/>
      <c r="D50" s="1"/>
      <c r="E50" s="1"/>
      <c r="F50" s="1"/>
      <c r="G50" s="1"/>
      <c r="H50" s="1"/>
      <c r="I50" s="2"/>
      <c r="J50" s="63"/>
      <c r="K50" s="63"/>
      <c r="L50" s="63"/>
      <c r="M50" s="3"/>
      <c r="N50" s="3"/>
      <c r="O50" s="3"/>
    </row>
    <row r="51" spans="3:15" ht="24.75" customHeight="1">
      <c r="C51" s="1"/>
      <c r="D51" s="1"/>
      <c r="E51" s="1"/>
      <c r="F51" s="1"/>
      <c r="G51" s="1"/>
      <c r="H51" s="1"/>
      <c r="I51" s="2"/>
      <c r="J51" s="63"/>
      <c r="K51" s="63"/>
      <c r="L51" s="63"/>
      <c r="M51" s="3"/>
      <c r="N51" s="3"/>
      <c r="O51" s="3"/>
    </row>
    <row r="52" spans="3:15" ht="24.75" customHeight="1">
      <c r="C52" s="1"/>
      <c r="D52" s="1"/>
      <c r="E52" s="1"/>
      <c r="F52" s="1"/>
      <c r="G52" s="1"/>
      <c r="H52" s="1"/>
      <c r="I52" s="2"/>
      <c r="J52" s="63"/>
      <c r="K52" s="63"/>
      <c r="L52" s="63"/>
      <c r="M52" s="3"/>
      <c r="N52" s="3"/>
      <c r="O52" s="3"/>
    </row>
    <row r="53" spans="3:15" ht="24.75" customHeight="1">
      <c r="C53" s="1"/>
      <c r="D53" s="1"/>
      <c r="E53" s="1"/>
      <c r="F53" s="1"/>
      <c r="G53" s="1"/>
      <c r="H53" s="1"/>
      <c r="I53" s="2"/>
      <c r="J53" s="63"/>
      <c r="K53" s="63"/>
      <c r="L53" s="63"/>
      <c r="M53" s="3"/>
      <c r="N53" s="3"/>
      <c r="O53" s="3"/>
    </row>
    <row r="54" spans="3:15" ht="24.75" customHeight="1">
      <c r="C54" s="1"/>
      <c r="D54" s="1"/>
      <c r="E54" s="1"/>
      <c r="F54" s="1"/>
      <c r="G54" s="1"/>
      <c r="H54" s="1"/>
      <c r="I54" s="2"/>
      <c r="J54" s="63"/>
      <c r="K54" s="63"/>
      <c r="L54" s="63"/>
      <c r="M54" s="3"/>
      <c r="N54" s="3"/>
      <c r="O54" s="3"/>
    </row>
    <row r="55" spans="3:15" ht="24.75" customHeight="1">
      <c r="C55" s="1"/>
      <c r="D55" s="1"/>
      <c r="E55" s="1"/>
      <c r="F55" s="1"/>
      <c r="G55" s="1"/>
      <c r="H55" s="1"/>
      <c r="I55" s="2"/>
      <c r="J55" s="63"/>
      <c r="K55" s="63"/>
      <c r="L55" s="63"/>
      <c r="M55" s="3"/>
      <c r="N55" s="3"/>
      <c r="O55" s="3"/>
    </row>
    <row r="56" spans="3:15" ht="24.75" customHeight="1">
      <c r="C56" s="1"/>
      <c r="D56" s="1"/>
      <c r="E56" s="1"/>
      <c r="F56" s="1"/>
      <c r="G56" s="1"/>
      <c r="H56" s="1"/>
      <c r="I56" s="2"/>
      <c r="J56" s="63"/>
      <c r="K56" s="63"/>
      <c r="L56" s="63"/>
      <c r="M56" s="3"/>
      <c r="N56" s="3"/>
      <c r="O56" s="3"/>
    </row>
    <row r="57" spans="3:15" ht="24.75" customHeight="1">
      <c r="C57" s="1"/>
      <c r="D57" s="1"/>
      <c r="E57" s="1"/>
      <c r="F57" s="1"/>
      <c r="G57" s="1"/>
      <c r="H57" s="1"/>
      <c r="I57" s="2"/>
      <c r="J57" s="63"/>
      <c r="K57" s="63"/>
      <c r="L57" s="63"/>
      <c r="M57" s="3"/>
      <c r="N57" s="3"/>
      <c r="O57" s="3"/>
    </row>
    <row r="58" spans="3:15" ht="24.75" customHeight="1">
      <c r="C58" s="1"/>
      <c r="D58" s="1"/>
      <c r="E58" s="1"/>
      <c r="F58" s="1"/>
      <c r="G58" s="1"/>
      <c r="H58" s="1"/>
      <c r="I58" s="2"/>
      <c r="J58" s="63"/>
      <c r="K58" s="63"/>
      <c r="L58" s="63"/>
      <c r="M58" s="3"/>
      <c r="N58" s="3"/>
      <c r="O58" s="3"/>
    </row>
    <row r="59" spans="3:15" ht="24.75" customHeight="1">
      <c r="C59" s="1"/>
      <c r="D59" s="1"/>
      <c r="E59" s="1"/>
      <c r="F59" s="1"/>
      <c r="G59" s="1"/>
      <c r="H59" s="1"/>
      <c r="I59" s="2"/>
      <c r="J59" s="63"/>
      <c r="K59" s="63"/>
      <c r="L59" s="63"/>
      <c r="M59" s="3"/>
      <c r="N59" s="3"/>
      <c r="O59" s="3"/>
    </row>
    <row r="60" spans="3:15" ht="24.75" customHeight="1">
      <c r="C60" s="1"/>
      <c r="D60" s="1"/>
      <c r="E60" s="1"/>
      <c r="F60" s="1"/>
      <c r="G60" s="1"/>
      <c r="H60" s="1"/>
      <c r="I60" s="2"/>
      <c r="J60" s="63"/>
      <c r="K60" s="63"/>
      <c r="L60" s="63"/>
      <c r="M60" s="3"/>
      <c r="N60" s="3"/>
      <c r="O60" s="3"/>
    </row>
    <row r="61" spans="3:15" ht="24.75" customHeight="1">
      <c r="C61" s="1"/>
      <c r="D61" s="1"/>
      <c r="E61" s="1"/>
      <c r="F61" s="1"/>
      <c r="G61" s="1"/>
      <c r="H61" s="1"/>
      <c r="I61" s="2"/>
      <c r="J61" s="63"/>
      <c r="K61" s="63"/>
      <c r="L61" s="63"/>
      <c r="M61" s="3"/>
      <c r="N61" s="3"/>
      <c r="O61" s="3"/>
    </row>
    <row r="62" spans="3:15" ht="24.75" customHeight="1">
      <c r="C62" s="1"/>
      <c r="D62" s="1"/>
      <c r="E62" s="1"/>
      <c r="F62" s="1"/>
      <c r="G62" s="1"/>
      <c r="H62" s="1"/>
      <c r="I62" s="2"/>
      <c r="J62" s="63"/>
      <c r="K62" s="63"/>
      <c r="L62" s="63"/>
    </row>
    <row r="63" spans="3:15" ht="24.75" customHeight="1">
      <c r="C63" s="1"/>
      <c r="D63" s="1"/>
      <c r="E63" s="1"/>
      <c r="F63" s="1"/>
      <c r="G63" s="1"/>
      <c r="H63" s="1"/>
      <c r="I63" s="2"/>
      <c r="J63" s="63"/>
      <c r="K63" s="63"/>
      <c r="L63" s="63"/>
    </row>
    <row r="64" spans="3:15" ht="24.75" customHeight="1">
      <c r="C64" s="1"/>
      <c r="D64" s="1"/>
      <c r="E64" s="1"/>
      <c r="F64" s="1"/>
      <c r="G64" s="1"/>
      <c r="H64" s="1"/>
      <c r="I64" s="2"/>
      <c r="J64" s="63"/>
      <c r="K64" s="63"/>
      <c r="L64" s="63"/>
    </row>
    <row r="65" spans="3:12" ht="24.75" customHeight="1">
      <c r="C65" s="1"/>
      <c r="D65" s="1"/>
      <c r="E65" s="1"/>
      <c r="F65" s="1"/>
      <c r="G65" s="1"/>
      <c r="H65" s="1"/>
      <c r="I65" s="2"/>
      <c r="J65" s="63"/>
      <c r="K65" s="63"/>
      <c r="L65" s="63"/>
    </row>
    <row r="66" spans="3:12" ht="24.75" customHeight="1">
      <c r="C66" s="1"/>
      <c r="D66" s="1"/>
      <c r="E66" s="1"/>
      <c r="F66" s="1"/>
      <c r="G66" s="1"/>
      <c r="H66" s="1"/>
      <c r="I66" s="2"/>
      <c r="J66" s="63"/>
      <c r="K66" s="63"/>
      <c r="L66" s="63"/>
    </row>
    <row r="67" spans="3:12" ht="24.75" customHeight="1">
      <c r="C67" s="1"/>
      <c r="D67" s="1"/>
      <c r="E67" s="1"/>
      <c r="F67" s="1"/>
      <c r="G67" s="1"/>
      <c r="H67" s="1"/>
      <c r="I67" s="2"/>
      <c r="J67" s="63"/>
      <c r="K67" s="63"/>
      <c r="L67" s="63"/>
    </row>
    <row r="68" spans="3:12" ht="24.75" customHeight="1">
      <c r="C68" s="1"/>
      <c r="D68" s="1"/>
      <c r="E68" s="1"/>
      <c r="F68" s="1"/>
      <c r="G68" s="1"/>
      <c r="H68" s="1"/>
      <c r="I68" s="2"/>
      <c r="J68" s="63"/>
      <c r="K68" s="63"/>
      <c r="L68" s="63"/>
    </row>
    <row r="69" spans="3:12" ht="24.75" customHeight="1">
      <c r="C69" s="1"/>
      <c r="D69" s="1"/>
      <c r="E69" s="1"/>
      <c r="F69" s="1"/>
      <c r="G69" s="1"/>
      <c r="H69" s="1"/>
      <c r="I69" s="2"/>
      <c r="J69" s="63"/>
      <c r="K69" s="63"/>
      <c r="L69" s="63"/>
    </row>
    <row r="70" spans="3:12" ht="24.75" customHeight="1">
      <c r="C70" s="1"/>
      <c r="D70" s="1"/>
      <c r="E70" s="1"/>
      <c r="F70" s="1"/>
      <c r="G70" s="1"/>
      <c r="H70" s="1"/>
      <c r="I70" s="2"/>
      <c r="J70" s="63"/>
      <c r="K70" s="63"/>
      <c r="L70" s="63"/>
    </row>
    <row r="71" spans="3:12" ht="24.75" customHeight="1">
      <c r="C71" s="1"/>
      <c r="D71" s="1"/>
      <c r="E71" s="1"/>
      <c r="F71" s="1"/>
      <c r="G71" s="1"/>
      <c r="H71" s="1"/>
      <c r="I71" s="2"/>
      <c r="J71" s="63"/>
      <c r="K71" s="63"/>
      <c r="L71" s="63"/>
    </row>
    <row r="72" spans="3:12" ht="24.75" customHeight="1">
      <c r="C72" s="1"/>
      <c r="D72" s="1"/>
      <c r="E72" s="1"/>
      <c r="F72" s="1"/>
      <c r="G72" s="1"/>
      <c r="H72" s="1"/>
      <c r="I72" s="2"/>
      <c r="J72" s="63"/>
      <c r="K72" s="63"/>
      <c r="L72" s="63"/>
    </row>
    <row r="73" spans="3:12" ht="24.75" customHeight="1">
      <c r="C73" s="1"/>
      <c r="D73" s="1"/>
      <c r="E73" s="1"/>
      <c r="F73" s="1"/>
      <c r="G73" s="1"/>
      <c r="H73" s="1"/>
      <c r="I73" s="2"/>
      <c r="J73" s="63"/>
      <c r="K73" s="63"/>
      <c r="L73" s="63"/>
    </row>
    <row r="74" spans="3:12" ht="24.75" customHeight="1">
      <c r="C74" s="1"/>
      <c r="D74" s="1"/>
      <c r="E74" s="1"/>
      <c r="F74" s="1"/>
      <c r="G74" s="1"/>
      <c r="H74" s="1"/>
      <c r="I74" s="2"/>
      <c r="J74" s="63"/>
      <c r="K74" s="63"/>
      <c r="L74" s="63"/>
    </row>
    <row r="75" spans="3:12" ht="24.75" customHeight="1">
      <c r="C75" s="1"/>
      <c r="D75" s="1"/>
      <c r="E75" s="1"/>
      <c r="F75" s="1"/>
      <c r="G75" s="1"/>
      <c r="H75" s="1"/>
      <c r="I75" s="2"/>
      <c r="J75" s="63"/>
      <c r="K75" s="63"/>
      <c r="L75" s="63"/>
    </row>
    <row r="76" spans="3:12" ht="24.75" customHeight="1">
      <c r="C76" s="1"/>
      <c r="D76" s="1"/>
      <c r="E76" s="1"/>
      <c r="F76" s="1"/>
      <c r="G76" s="1"/>
      <c r="H76" s="1"/>
      <c r="I76" s="2"/>
      <c r="J76" s="63"/>
      <c r="K76" s="63"/>
      <c r="L76" s="63"/>
    </row>
    <row r="77" spans="3:12" ht="24.75" customHeight="1">
      <c r="C77" s="1"/>
      <c r="D77" s="1"/>
      <c r="E77" s="1"/>
      <c r="F77" s="1"/>
      <c r="G77" s="1"/>
      <c r="H77" s="1"/>
      <c r="I77" s="2"/>
      <c r="J77" s="63"/>
      <c r="K77" s="63"/>
      <c r="L77" s="63"/>
    </row>
    <row r="78" spans="3:12" ht="24.75" customHeight="1">
      <c r="C78" s="1"/>
      <c r="D78" s="1"/>
      <c r="E78" s="1"/>
      <c r="F78" s="1"/>
      <c r="G78" s="1"/>
      <c r="H78" s="1"/>
      <c r="I78" s="2"/>
      <c r="J78" s="63"/>
      <c r="K78" s="63"/>
      <c r="L78" s="63"/>
    </row>
    <row r="79" spans="3:12" ht="24.75" customHeight="1">
      <c r="C79" s="1"/>
      <c r="D79" s="1"/>
      <c r="E79" s="1"/>
      <c r="F79" s="1"/>
      <c r="G79" s="1"/>
      <c r="H79" s="1"/>
      <c r="I79" s="2"/>
      <c r="J79" s="63"/>
      <c r="K79" s="63"/>
      <c r="L79" s="63"/>
    </row>
    <row r="80" spans="3:12" ht="24.75" customHeight="1">
      <c r="C80" s="1"/>
      <c r="D80" s="1"/>
      <c r="E80" s="1"/>
      <c r="F80" s="1"/>
      <c r="G80" s="1"/>
      <c r="H80" s="1"/>
      <c r="I80" s="2"/>
      <c r="J80" s="63"/>
      <c r="K80" s="63"/>
      <c r="L80" s="63"/>
    </row>
    <row r="81" spans="3:12" ht="24.75" customHeight="1">
      <c r="C81" s="1"/>
      <c r="D81" s="1"/>
      <c r="E81" s="1"/>
      <c r="F81" s="1"/>
      <c r="G81" s="1"/>
      <c r="H81" s="1"/>
      <c r="I81" s="2"/>
      <c r="J81" s="63"/>
      <c r="K81" s="63"/>
      <c r="L81" s="63"/>
    </row>
    <row r="82" spans="3:12" ht="24.75" customHeight="1">
      <c r="C82" s="1"/>
      <c r="D82" s="1"/>
      <c r="E82" s="1"/>
      <c r="F82" s="1"/>
      <c r="G82" s="1"/>
      <c r="H82" s="1"/>
      <c r="I82" s="2"/>
      <c r="J82" s="63"/>
      <c r="K82" s="63"/>
      <c r="L82" s="63"/>
    </row>
    <row r="83" spans="3:12" ht="24.75" customHeight="1">
      <c r="C83" s="1"/>
      <c r="D83" s="1"/>
      <c r="E83" s="1"/>
      <c r="F83" s="1"/>
      <c r="G83" s="1"/>
      <c r="H83" s="1"/>
      <c r="I83" s="2"/>
      <c r="J83" s="63"/>
      <c r="K83" s="63"/>
      <c r="L83" s="63"/>
    </row>
    <row r="84" spans="3:12" ht="24.75" customHeight="1">
      <c r="C84" s="1"/>
      <c r="D84" s="1"/>
      <c r="E84" s="1"/>
      <c r="F84" s="1"/>
      <c r="G84" s="1"/>
      <c r="H84" s="1"/>
      <c r="I84" s="2"/>
      <c r="J84" s="63"/>
      <c r="K84" s="63"/>
      <c r="L84" s="63"/>
    </row>
    <row r="85" spans="3:12" ht="24.75" customHeight="1">
      <c r="C85" s="1"/>
      <c r="D85" s="1"/>
      <c r="E85" s="1"/>
      <c r="F85" s="1"/>
      <c r="G85" s="1"/>
      <c r="H85" s="1"/>
      <c r="I85" s="2"/>
      <c r="J85" s="63"/>
      <c r="K85" s="63"/>
      <c r="L85" s="63"/>
    </row>
    <row r="86" spans="3:12" ht="24.75" customHeight="1">
      <c r="C86" s="1"/>
      <c r="D86" s="1"/>
      <c r="E86" s="1"/>
      <c r="F86" s="1"/>
      <c r="G86" s="1"/>
      <c r="H86" s="1"/>
      <c r="I86" s="2"/>
      <c r="J86" s="63"/>
      <c r="K86" s="63"/>
      <c r="L86" s="63"/>
    </row>
    <row r="87" spans="3:12" ht="24.75" customHeight="1">
      <c r="C87" s="1"/>
      <c r="D87" s="1"/>
      <c r="E87" s="1"/>
      <c r="F87" s="1"/>
      <c r="G87" s="1"/>
      <c r="H87" s="1"/>
      <c r="I87" s="2"/>
      <c r="J87" s="63"/>
      <c r="K87" s="63"/>
      <c r="L87" s="63"/>
    </row>
    <row r="88" spans="3:12" ht="24.75" customHeight="1">
      <c r="C88" s="1"/>
      <c r="D88" s="1"/>
      <c r="E88" s="1"/>
      <c r="F88" s="1"/>
      <c r="G88" s="1"/>
      <c r="H88" s="1"/>
      <c r="I88" s="2"/>
      <c r="J88" s="63"/>
      <c r="K88" s="63"/>
      <c r="L88" s="63"/>
    </row>
    <row r="89" spans="3:12" ht="24.75" customHeight="1">
      <c r="C89" s="1"/>
      <c r="D89" s="1"/>
      <c r="E89" s="1"/>
      <c r="F89" s="1"/>
      <c r="G89" s="1"/>
      <c r="H89" s="1"/>
      <c r="I89" s="2"/>
      <c r="J89" s="63"/>
      <c r="K89" s="63"/>
      <c r="L89" s="63"/>
    </row>
    <row r="90" spans="3:12" ht="24.75" customHeight="1">
      <c r="C90" s="1"/>
      <c r="D90" s="1"/>
      <c r="E90" s="1"/>
      <c r="F90" s="1"/>
      <c r="G90" s="1"/>
      <c r="H90" s="1"/>
      <c r="I90" s="2"/>
      <c r="J90" s="63"/>
      <c r="K90" s="63"/>
      <c r="L90" s="63"/>
    </row>
    <row r="91" spans="3:12" ht="24.75" customHeight="1">
      <c r="C91" s="1"/>
      <c r="D91" s="1"/>
      <c r="E91" s="1"/>
      <c r="F91" s="1"/>
      <c r="G91" s="1"/>
      <c r="H91" s="1"/>
      <c r="I91" s="2"/>
      <c r="J91" s="63"/>
      <c r="K91" s="63"/>
      <c r="L91" s="63"/>
    </row>
    <row r="92" spans="3:12" ht="24.75" customHeight="1">
      <c r="C92" s="1"/>
      <c r="D92" s="1"/>
      <c r="E92" s="1"/>
      <c r="F92" s="1"/>
      <c r="G92" s="1"/>
      <c r="H92" s="1"/>
      <c r="I92" s="2"/>
      <c r="J92" s="63"/>
      <c r="K92" s="63"/>
      <c r="L92" s="63"/>
    </row>
    <row r="93" spans="3:12" ht="24.75" customHeight="1">
      <c r="C93" s="1"/>
      <c r="D93" s="1"/>
      <c r="E93" s="1"/>
      <c r="F93" s="1"/>
      <c r="G93" s="1"/>
      <c r="H93" s="1"/>
      <c r="I93" s="2"/>
      <c r="J93" s="63"/>
      <c r="K93" s="63"/>
      <c r="L93" s="63"/>
    </row>
    <row r="94" spans="3:12" ht="24.75" customHeight="1">
      <c r="C94" s="1"/>
      <c r="D94" s="1"/>
      <c r="E94" s="1"/>
      <c r="F94" s="1"/>
      <c r="G94" s="1"/>
      <c r="H94" s="1"/>
      <c r="I94" s="2"/>
      <c r="J94" s="63"/>
      <c r="K94" s="63"/>
      <c r="L94" s="63"/>
    </row>
    <row r="95" spans="3:12" ht="24.75" customHeight="1">
      <c r="C95" s="1"/>
      <c r="D95" s="1"/>
      <c r="E95" s="1"/>
      <c r="F95" s="1"/>
      <c r="G95" s="1"/>
      <c r="H95" s="1"/>
      <c r="I95" s="2"/>
      <c r="J95" s="63"/>
      <c r="K95" s="63"/>
      <c r="L95" s="63"/>
    </row>
    <row r="96" spans="3:12" ht="24.75" customHeight="1">
      <c r="C96" s="1"/>
      <c r="D96" s="1"/>
      <c r="E96" s="1"/>
      <c r="F96" s="1"/>
      <c r="G96" s="1"/>
      <c r="H96" s="1"/>
      <c r="I96" s="2"/>
      <c r="J96" s="63"/>
      <c r="K96" s="63"/>
      <c r="L96" s="63"/>
    </row>
    <row r="97" spans="3:12" ht="24.75" customHeight="1">
      <c r="C97" s="1"/>
      <c r="D97" s="1"/>
      <c r="E97" s="1"/>
      <c r="F97" s="1"/>
      <c r="G97" s="1"/>
      <c r="H97" s="1"/>
      <c r="I97" s="2"/>
      <c r="J97" s="63"/>
      <c r="K97" s="63"/>
      <c r="L97" s="63"/>
    </row>
    <row r="98" spans="3:12" ht="24.75" customHeight="1">
      <c r="C98" s="1"/>
      <c r="D98" s="1"/>
      <c r="E98" s="1"/>
      <c r="F98" s="1"/>
      <c r="G98" s="1"/>
      <c r="H98" s="1"/>
      <c r="I98" s="2"/>
      <c r="J98" s="63"/>
      <c r="K98" s="63"/>
      <c r="L98" s="63"/>
    </row>
    <row r="99" spans="3:12" ht="24.75" customHeight="1">
      <c r="C99" s="1"/>
      <c r="D99" s="1"/>
      <c r="E99" s="1"/>
      <c r="F99" s="1"/>
      <c r="G99" s="1"/>
      <c r="H99" s="1"/>
      <c r="I99" s="2"/>
      <c r="J99" s="63"/>
      <c r="K99" s="63"/>
      <c r="L99" s="63"/>
    </row>
    <row r="100" spans="3:12" ht="24.75" customHeight="1">
      <c r="C100" s="1"/>
      <c r="D100" s="1"/>
      <c r="E100" s="1"/>
      <c r="F100" s="1"/>
      <c r="G100" s="1"/>
      <c r="H100" s="1"/>
      <c r="I100" s="2"/>
      <c r="J100" s="63"/>
      <c r="K100" s="63"/>
      <c r="L100" s="63"/>
    </row>
    <row r="101" spans="3:12" ht="24.75" customHeight="1">
      <c r="C101" s="1"/>
      <c r="D101" s="1"/>
      <c r="E101" s="1"/>
      <c r="F101" s="1"/>
      <c r="G101" s="1"/>
      <c r="H101" s="1"/>
      <c r="I101" s="2"/>
      <c r="J101" s="63"/>
      <c r="K101" s="63"/>
      <c r="L101" s="63"/>
    </row>
    <row r="102" spans="3:12" ht="24.75" customHeight="1">
      <c r="C102" s="1"/>
      <c r="D102" s="1"/>
      <c r="E102" s="1"/>
      <c r="F102" s="1"/>
      <c r="G102" s="1"/>
      <c r="H102" s="1"/>
      <c r="I102" s="2"/>
      <c r="J102" s="63"/>
      <c r="K102" s="63"/>
      <c r="L102" s="63"/>
    </row>
    <row r="103" spans="3:12" ht="24.75" customHeight="1">
      <c r="C103" s="1"/>
      <c r="D103" s="1"/>
      <c r="E103" s="1"/>
      <c r="F103" s="1"/>
      <c r="G103" s="1"/>
      <c r="H103" s="1"/>
      <c r="I103" s="2"/>
      <c r="J103" s="63"/>
      <c r="K103" s="63"/>
      <c r="L103" s="63"/>
    </row>
    <row r="104" spans="3:12" ht="24.75" customHeight="1">
      <c r="C104" s="1"/>
      <c r="D104" s="1"/>
      <c r="E104" s="1"/>
      <c r="F104" s="1"/>
      <c r="G104" s="1"/>
      <c r="H104" s="1"/>
      <c r="I104" s="2"/>
      <c r="J104" s="63"/>
      <c r="K104" s="63"/>
      <c r="L104" s="63"/>
    </row>
    <row r="105" spans="3:12" ht="24.75" customHeight="1">
      <c r="C105" s="1"/>
      <c r="D105" s="1"/>
      <c r="E105" s="1"/>
      <c r="F105" s="1"/>
      <c r="G105" s="1"/>
      <c r="H105" s="1"/>
      <c r="I105" s="2"/>
      <c r="J105" s="63"/>
      <c r="K105" s="63"/>
      <c r="L105" s="63"/>
    </row>
    <row r="106" spans="3:12" ht="24.75" customHeight="1">
      <c r="C106" s="1"/>
      <c r="D106" s="1"/>
      <c r="E106" s="1"/>
      <c r="F106" s="1"/>
      <c r="G106" s="1"/>
      <c r="H106" s="1"/>
      <c r="I106" s="2"/>
      <c r="J106" s="63"/>
      <c r="K106" s="63"/>
      <c r="L106" s="63"/>
    </row>
    <row r="107" spans="3:12" ht="24.75" customHeight="1">
      <c r="C107" s="1"/>
      <c r="D107" s="1"/>
      <c r="E107" s="1"/>
      <c r="F107" s="1"/>
      <c r="G107" s="1"/>
      <c r="H107" s="1"/>
      <c r="I107" s="2"/>
      <c r="J107" s="63"/>
      <c r="K107" s="63"/>
      <c r="L107" s="63"/>
    </row>
    <row r="108" spans="3:12" ht="24.75" customHeight="1">
      <c r="C108" s="1"/>
      <c r="D108" s="1"/>
      <c r="E108" s="1"/>
      <c r="F108" s="1"/>
      <c r="G108" s="1"/>
      <c r="H108" s="1"/>
      <c r="I108" s="2"/>
      <c r="J108" s="63"/>
      <c r="K108" s="63"/>
      <c r="L108" s="63"/>
    </row>
    <row r="109" spans="3:12" ht="24.75" customHeight="1">
      <c r="C109" s="1"/>
      <c r="D109" s="1"/>
      <c r="E109" s="1"/>
      <c r="F109" s="1"/>
      <c r="G109" s="1"/>
      <c r="H109" s="1"/>
      <c r="I109" s="2"/>
      <c r="J109" s="63"/>
      <c r="K109" s="63"/>
      <c r="L109" s="63"/>
    </row>
    <row r="110" spans="3:12" ht="24.75" customHeight="1">
      <c r="C110" s="1"/>
      <c r="D110" s="1"/>
      <c r="E110" s="1"/>
      <c r="F110" s="1"/>
      <c r="G110" s="1"/>
      <c r="H110" s="1"/>
      <c r="I110" s="2"/>
      <c r="J110" s="63"/>
      <c r="K110" s="63"/>
      <c r="L110" s="63"/>
    </row>
    <row r="111" spans="3:12" ht="24.75" customHeight="1">
      <c r="C111" s="1"/>
      <c r="D111" s="1"/>
      <c r="E111" s="1"/>
      <c r="F111" s="1"/>
      <c r="G111" s="1"/>
      <c r="H111" s="1"/>
      <c r="I111" s="2"/>
      <c r="J111" s="63"/>
      <c r="K111" s="63"/>
      <c r="L111" s="63"/>
    </row>
    <row r="112" spans="3:12" ht="24.75" customHeight="1">
      <c r="C112" s="1"/>
      <c r="D112" s="1"/>
      <c r="E112" s="1"/>
      <c r="F112" s="1"/>
      <c r="G112" s="1"/>
      <c r="H112" s="1"/>
      <c r="I112" s="2"/>
      <c r="J112" s="63"/>
      <c r="K112" s="63"/>
      <c r="L112" s="63"/>
    </row>
    <row r="113" spans="3:19" ht="24.75" customHeight="1">
      <c r="C113" s="1"/>
      <c r="D113" s="1"/>
      <c r="E113" s="1"/>
      <c r="F113" s="1"/>
      <c r="G113" s="1"/>
      <c r="H113" s="1"/>
      <c r="I113" s="2"/>
      <c r="J113" s="63"/>
      <c r="K113" s="63"/>
      <c r="L113" s="63"/>
    </row>
    <row r="114" spans="3:19" ht="15.75" customHeight="1">
      <c r="C114" s="1"/>
      <c r="I114" s="2"/>
      <c r="J114" s="63"/>
      <c r="K114" s="63"/>
      <c r="L114" s="63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63"/>
      <c r="K115" s="63"/>
      <c r="L115" s="63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63"/>
      <c r="K116" s="63"/>
      <c r="L116" s="63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63"/>
      <c r="K117" s="63"/>
      <c r="L117" s="63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63"/>
      <c r="K118" s="63"/>
      <c r="L118" s="63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63"/>
      <c r="K119" s="63"/>
      <c r="L119" s="63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63"/>
      <c r="K120" s="63"/>
      <c r="L120" s="63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63"/>
      <c r="K121" s="63"/>
      <c r="L121" s="63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63"/>
      <c r="K122" s="63"/>
      <c r="L122" s="63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63"/>
      <c r="K123" s="63"/>
      <c r="L123" s="63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63"/>
      <c r="K124" s="63"/>
      <c r="L124" s="63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63"/>
      <c r="K125" s="63"/>
      <c r="L125" s="63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63"/>
      <c r="K126" s="63"/>
      <c r="L126" s="63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63"/>
      <c r="K127" s="63"/>
      <c r="L127" s="63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63"/>
      <c r="K128" s="63"/>
      <c r="L128" s="63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63"/>
      <c r="K129" s="63"/>
      <c r="L129" s="63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63"/>
      <c r="K130" s="63"/>
      <c r="L130" s="63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63"/>
      <c r="K131" s="63"/>
      <c r="L131" s="63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63"/>
      <c r="K132" s="63"/>
      <c r="L132" s="63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63"/>
      <c r="K133" s="63"/>
      <c r="L133" s="63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63"/>
      <c r="K134" s="63"/>
      <c r="L134" s="63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63"/>
      <c r="K135" s="63"/>
      <c r="L135" s="63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63"/>
      <c r="K136" s="63"/>
      <c r="L136" s="63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63"/>
      <c r="K137" s="63"/>
      <c r="L137" s="63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63"/>
      <c r="K138" s="63"/>
      <c r="L138" s="63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63"/>
      <c r="K139" s="63"/>
      <c r="L139" s="63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63"/>
      <c r="K140" s="63"/>
      <c r="L140" s="63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63"/>
      <c r="K141" s="63"/>
      <c r="L141" s="63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63"/>
      <c r="K142" s="63"/>
      <c r="L142" s="63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63"/>
      <c r="K143" s="63"/>
      <c r="L143" s="63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63"/>
      <c r="K144" s="63"/>
      <c r="L144" s="63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63"/>
      <c r="K145" s="63"/>
      <c r="L145" s="63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63"/>
      <c r="K146" s="63"/>
      <c r="L146" s="63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63"/>
      <c r="K147" s="63"/>
      <c r="L147" s="63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63"/>
      <c r="K148" s="63"/>
      <c r="L148" s="63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63"/>
      <c r="K149" s="63"/>
      <c r="L149" s="63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63"/>
      <c r="K150" s="63"/>
      <c r="L150" s="63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63"/>
      <c r="K151" s="63"/>
      <c r="L151" s="63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63"/>
      <c r="K152" s="63"/>
      <c r="L152" s="63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63"/>
      <c r="K153" s="63"/>
      <c r="L153" s="63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63"/>
      <c r="K154" s="63"/>
      <c r="L154" s="63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63"/>
      <c r="K155" s="63"/>
      <c r="L155" s="63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63"/>
      <c r="K156" s="63"/>
      <c r="L156" s="63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63"/>
      <c r="K157" s="63"/>
      <c r="L157" s="63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63"/>
      <c r="K158" s="63"/>
      <c r="L158" s="63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63"/>
      <c r="K159" s="63"/>
      <c r="L159" s="63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63"/>
      <c r="K160" s="63"/>
      <c r="L160" s="63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63"/>
      <c r="K161" s="63"/>
      <c r="L161" s="63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63"/>
      <c r="K162" s="63"/>
      <c r="L162" s="63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63"/>
      <c r="K163" s="63"/>
      <c r="L163" s="63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63"/>
      <c r="K164" s="63"/>
      <c r="L164" s="63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63"/>
      <c r="K165" s="63"/>
      <c r="L165" s="63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63"/>
      <c r="K166" s="63"/>
      <c r="L166" s="63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63"/>
      <c r="K167" s="63"/>
      <c r="L167" s="63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63"/>
      <c r="K168" s="63"/>
      <c r="L168" s="63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63"/>
      <c r="K169" s="63"/>
      <c r="L169" s="63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63"/>
      <c r="K170" s="63"/>
      <c r="L170" s="63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63"/>
      <c r="K171" s="63"/>
      <c r="L171" s="63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63"/>
      <c r="K172" s="63"/>
      <c r="L172" s="63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63"/>
      <c r="K173" s="63"/>
      <c r="L173" s="63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63"/>
      <c r="K174" s="63"/>
      <c r="L174" s="63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63"/>
      <c r="K175" s="63"/>
      <c r="L175" s="63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63"/>
      <c r="K176" s="63"/>
      <c r="L176" s="63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63"/>
      <c r="K177" s="63"/>
      <c r="L177" s="63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63"/>
      <c r="K178" s="63"/>
      <c r="L178" s="63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63"/>
      <c r="K179" s="63"/>
      <c r="L179" s="63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63"/>
      <c r="K180" s="63"/>
      <c r="L180" s="63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63"/>
      <c r="K181" s="63"/>
      <c r="L181" s="63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63"/>
      <c r="K182" s="63"/>
      <c r="L182" s="63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63"/>
      <c r="K183" s="63"/>
      <c r="L183" s="63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63"/>
      <c r="K184" s="63"/>
      <c r="L184" s="63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63"/>
      <c r="K185" s="63"/>
      <c r="L185" s="63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63"/>
      <c r="K186" s="63"/>
      <c r="L186" s="63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63"/>
      <c r="K187" s="63"/>
      <c r="L187" s="63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63"/>
      <c r="K188" s="63"/>
      <c r="L188" s="63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63"/>
      <c r="K189" s="63"/>
      <c r="L189" s="63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63"/>
      <c r="K190" s="63"/>
      <c r="L190" s="63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63"/>
      <c r="K191" s="63"/>
      <c r="L191" s="63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63"/>
      <c r="K192" s="63"/>
      <c r="L192" s="63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63"/>
      <c r="K193" s="63"/>
      <c r="L193" s="63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63"/>
      <c r="K194" s="63"/>
      <c r="L194" s="63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63"/>
      <c r="K195" s="63"/>
      <c r="L195" s="63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63"/>
      <c r="K196" s="63"/>
      <c r="L196" s="63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63"/>
      <c r="K197" s="63"/>
      <c r="L197" s="63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63"/>
      <c r="K198" s="63"/>
      <c r="L198" s="63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63"/>
      <c r="K199" s="63"/>
      <c r="L199" s="63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63"/>
      <c r="K200" s="63"/>
      <c r="L200" s="63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63"/>
      <c r="K201" s="63"/>
      <c r="L201" s="63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63"/>
      <c r="K202" s="63"/>
      <c r="L202" s="63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63"/>
      <c r="K203" s="63"/>
      <c r="L203" s="63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63"/>
      <c r="K204" s="63"/>
      <c r="L204" s="63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63"/>
      <c r="K205" s="63"/>
      <c r="L205" s="63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63"/>
      <c r="K206" s="63"/>
      <c r="L206" s="63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63"/>
      <c r="K207" s="63"/>
      <c r="L207" s="63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63"/>
      <c r="K208" s="63"/>
      <c r="L208" s="63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63"/>
      <c r="K209" s="63"/>
      <c r="L209" s="63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63"/>
      <c r="K210" s="63"/>
      <c r="L210" s="63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63"/>
      <c r="K211" s="63"/>
      <c r="L211" s="63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63"/>
      <c r="K212" s="63"/>
      <c r="L212" s="63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63"/>
      <c r="K213" s="63"/>
      <c r="L213" s="63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63"/>
      <c r="K214" s="63"/>
      <c r="L214" s="63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63"/>
      <c r="K215" s="63"/>
      <c r="L215" s="63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63"/>
      <c r="K216" s="63"/>
      <c r="L216" s="63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63"/>
      <c r="K217" s="63"/>
      <c r="L217" s="63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63"/>
      <c r="K218" s="63"/>
      <c r="L218" s="63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63"/>
      <c r="K219" s="63"/>
      <c r="L219" s="63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63"/>
      <c r="K220" s="63"/>
      <c r="L220" s="63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63"/>
      <c r="K221" s="63"/>
      <c r="L221" s="63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63"/>
      <c r="K222" s="63"/>
      <c r="L222" s="63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63"/>
      <c r="K223" s="63"/>
      <c r="L223" s="63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63"/>
      <c r="K224" s="63"/>
      <c r="L224" s="63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63"/>
      <c r="K225" s="63"/>
      <c r="L225" s="63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63"/>
      <c r="K226" s="63"/>
      <c r="L226" s="63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63"/>
      <c r="K227" s="63"/>
      <c r="L227" s="63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63"/>
      <c r="K228" s="63"/>
      <c r="L228" s="63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63"/>
      <c r="K229" s="63"/>
      <c r="L229" s="63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63"/>
      <c r="K230" s="63"/>
      <c r="L230" s="63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63"/>
      <c r="K231" s="63"/>
      <c r="L231" s="63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63"/>
      <c r="K232" s="63"/>
      <c r="L232" s="63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63"/>
      <c r="K233" s="63"/>
      <c r="L233" s="63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63"/>
      <c r="K234" s="63"/>
      <c r="L234" s="63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63"/>
      <c r="K235" s="63"/>
      <c r="L235" s="63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63"/>
      <c r="K236" s="63"/>
      <c r="L236" s="63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63"/>
      <c r="K237" s="63"/>
      <c r="L237" s="63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63"/>
      <c r="K238" s="63"/>
      <c r="L238" s="63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63"/>
      <c r="K239" s="63"/>
      <c r="L239" s="63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63"/>
      <c r="K240" s="63"/>
      <c r="L240" s="63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63"/>
      <c r="K241" s="63"/>
      <c r="L241" s="63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63"/>
      <c r="K242" s="63"/>
      <c r="L242" s="63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63"/>
      <c r="K243" s="63"/>
      <c r="L243" s="63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63"/>
      <c r="K244" s="63"/>
      <c r="L244" s="63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63"/>
      <c r="K245" s="63"/>
      <c r="L245" s="63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63"/>
      <c r="K246" s="63"/>
      <c r="L246" s="63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63"/>
      <c r="K247" s="63"/>
      <c r="L247" s="63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63"/>
      <c r="K248" s="63"/>
      <c r="L248" s="63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63"/>
      <c r="K249" s="63"/>
      <c r="L249" s="63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63"/>
      <c r="K250" s="63"/>
      <c r="L250" s="63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63"/>
      <c r="K251" s="63"/>
      <c r="L251" s="63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63"/>
      <c r="K252" s="63"/>
      <c r="L252" s="63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63"/>
      <c r="K253" s="63"/>
      <c r="L253" s="63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63"/>
      <c r="K254" s="63"/>
      <c r="L254" s="63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63"/>
      <c r="K255" s="63"/>
      <c r="L255" s="63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63"/>
      <c r="K256" s="63"/>
      <c r="L256" s="63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63"/>
      <c r="K257" s="63"/>
      <c r="L257" s="63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63"/>
      <c r="K258" s="63"/>
      <c r="L258" s="63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63"/>
      <c r="K259" s="63"/>
      <c r="L259" s="63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63"/>
      <c r="K260" s="63"/>
      <c r="L260" s="63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63"/>
      <c r="K261" s="63"/>
      <c r="L261" s="63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63"/>
      <c r="K262" s="63"/>
      <c r="L262" s="63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63"/>
      <c r="K263" s="63"/>
      <c r="L263" s="63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63"/>
      <c r="K264" s="63"/>
      <c r="L264" s="63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63"/>
      <c r="K265" s="63"/>
      <c r="L265" s="63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63"/>
      <c r="K266" s="63"/>
      <c r="L266" s="63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63"/>
      <c r="K267" s="63"/>
      <c r="L267" s="63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63"/>
      <c r="K268" s="63"/>
      <c r="L268" s="63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63"/>
      <c r="K269" s="63"/>
      <c r="L269" s="63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63"/>
      <c r="K270" s="63"/>
      <c r="L270" s="63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63"/>
      <c r="K271" s="63"/>
      <c r="L271" s="63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63"/>
      <c r="K272" s="63"/>
      <c r="L272" s="63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63"/>
      <c r="K273" s="63"/>
      <c r="L273" s="63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63"/>
      <c r="K274" s="63"/>
      <c r="L274" s="63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63"/>
      <c r="K275" s="63"/>
      <c r="L275" s="63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63"/>
      <c r="K276" s="63"/>
      <c r="L276" s="63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63"/>
      <c r="K277" s="63"/>
      <c r="L277" s="63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63"/>
      <c r="K278" s="63"/>
      <c r="L278" s="63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63"/>
      <c r="K279" s="63"/>
      <c r="L279" s="63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63"/>
      <c r="K280" s="63"/>
      <c r="L280" s="63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63"/>
      <c r="K281" s="63"/>
      <c r="L281" s="63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63"/>
      <c r="K282" s="63"/>
      <c r="L282" s="63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63"/>
      <c r="K283" s="63"/>
      <c r="L283" s="63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63"/>
      <c r="K284" s="63"/>
      <c r="L284" s="63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63"/>
      <c r="K285" s="63"/>
      <c r="L285" s="63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63"/>
      <c r="K286" s="63"/>
      <c r="L286" s="63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63"/>
      <c r="K287" s="63"/>
      <c r="L287" s="63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63"/>
      <c r="K288" s="63"/>
      <c r="L288" s="63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63"/>
      <c r="K289" s="63"/>
      <c r="L289" s="63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63"/>
      <c r="K290" s="63"/>
      <c r="L290" s="63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63"/>
      <c r="K291" s="63"/>
      <c r="L291" s="63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63"/>
      <c r="K292" s="63"/>
      <c r="L292" s="63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63"/>
      <c r="K293" s="63"/>
      <c r="L293" s="63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63"/>
      <c r="K294" s="63"/>
      <c r="L294" s="63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63"/>
      <c r="K295" s="63"/>
      <c r="L295" s="63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63"/>
      <c r="K296" s="63"/>
      <c r="L296" s="63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63"/>
      <c r="K297" s="63"/>
      <c r="L297" s="63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63"/>
      <c r="K298" s="63"/>
      <c r="L298" s="63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63"/>
      <c r="K299" s="63"/>
      <c r="L299" s="63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63"/>
      <c r="K300" s="63"/>
      <c r="L300" s="63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63"/>
      <c r="K301" s="63"/>
      <c r="L301" s="63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63"/>
      <c r="K302" s="63"/>
      <c r="L302" s="63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63"/>
      <c r="K303" s="63"/>
      <c r="L303" s="63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63"/>
      <c r="K304" s="63"/>
      <c r="L304" s="63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63"/>
      <c r="K305" s="63"/>
      <c r="L305" s="63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63"/>
      <c r="K306" s="63"/>
      <c r="L306" s="63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63"/>
      <c r="K307" s="63"/>
      <c r="L307" s="63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63"/>
      <c r="K308" s="63"/>
      <c r="L308" s="63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63"/>
      <c r="K309" s="63"/>
      <c r="L309" s="63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63"/>
      <c r="K310" s="63"/>
      <c r="L310" s="63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63"/>
      <c r="K311" s="63"/>
      <c r="L311" s="63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63"/>
      <c r="K312" s="63"/>
      <c r="L312" s="63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63"/>
      <c r="K313" s="63"/>
      <c r="L313" s="63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63"/>
      <c r="K314" s="63"/>
      <c r="L314" s="63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63"/>
      <c r="K315" s="63"/>
      <c r="L315" s="63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63"/>
      <c r="K316" s="63"/>
      <c r="L316" s="63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63"/>
      <c r="K317" s="63"/>
      <c r="L317" s="63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63"/>
      <c r="K318" s="63"/>
      <c r="L318" s="63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63"/>
      <c r="K319" s="63"/>
      <c r="L319" s="63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63"/>
      <c r="K320" s="63"/>
      <c r="L320" s="63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63"/>
      <c r="K321" s="63"/>
      <c r="L321" s="63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63"/>
      <c r="K322" s="63"/>
      <c r="L322" s="63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63"/>
      <c r="K323" s="63"/>
      <c r="L323" s="63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63"/>
      <c r="K324" s="63"/>
      <c r="L324" s="63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63"/>
      <c r="K325" s="63"/>
      <c r="L325" s="63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63"/>
      <c r="K326" s="63"/>
      <c r="L326" s="63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63"/>
      <c r="K327" s="63"/>
      <c r="L327" s="63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63"/>
      <c r="K328" s="63"/>
      <c r="L328" s="63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63"/>
      <c r="K329" s="63"/>
      <c r="L329" s="63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63"/>
      <c r="K330" s="63"/>
      <c r="L330" s="63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63"/>
      <c r="K331" s="63"/>
      <c r="L331" s="63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63"/>
      <c r="K332" s="63"/>
      <c r="L332" s="63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63"/>
      <c r="K333" s="63"/>
      <c r="L333" s="63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63"/>
      <c r="K334" s="63"/>
      <c r="L334" s="63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63"/>
      <c r="K335" s="63"/>
      <c r="L335" s="63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63"/>
      <c r="K336" s="63"/>
      <c r="L336" s="63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63"/>
      <c r="K337" s="63"/>
      <c r="L337" s="63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63"/>
      <c r="K338" s="63"/>
      <c r="L338" s="63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63"/>
      <c r="K339" s="63"/>
      <c r="L339" s="63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63"/>
      <c r="K340" s="63"/>
      <c r="L340" s="63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63"/>
      <c r="K341" s="63"/>
      <c r="L341" s="63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63"/>
      <c r="K342" s="63"/>
      <c r="L342" s="63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63"/>
      <c r="K343" s="63"/>
      <c r="L343" s="63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63"/>
      <c r="K344" s="63"/>
      <c r="L344" s="63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63"/>
      <c r="K345" s="63"/>
      <c r="L345" s="63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63"/>
      <c r="K346" s="63"/>
      <c r="L346" s="63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63"/>
      <c r="K347" s="63"/>
      <c r="L347" s="63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63"/>
      <c r="K348" s="63"/>
      <c r="L348" s="63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63"/>
      <c r="K349" s="63"/>
      <c r="L349" s="63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63"/>
      <c r="K350" s="63"/>
      <c r="L350" s="63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63"/>
      <c r="K351" s="63"/>
      <c r="L351" s="63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63"/>
      <c r="K352" s="63"/>
      <c r="L352" s="63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63"/>
      <c r="K353" s="63"/>
      <c r="L353" s="63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63"/>
      <c r="K354" s="63"/>
      <c r="L354" s="63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63"/>
      <c r="K355" s="63"/>
      <c r="L355" s="63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63"/>
      <c r="K356" s="63"/>
      <c r="L356" s="63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63"/>
      <c r="K357" s="63"/>
      <c r="L357" s="63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63"/>
      <c r="K358" s="63"/>
      <c r="L358" s="63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63"/>
      <c r="K359" s="63"/>
      <c r="L359" s="63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63"/>
      <c r="K360" s="63"/>
      <c r="L360" s="63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63"/>
      <c r="K361" s="63"/>
      <c r="L361" s="63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63"/>
      <c r="K362" s="63"/>
      <c r="L362" s="63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63"/>
      <c r="K363" s="63"/>
      <c r="L363" s="63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63"/>
      <c r="K364" s="63"/>
      <c r="L364" s="63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63"/>
      <c r="K365" s="63"/>
      <c r="L365" s="63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63"/>
      <c r="K366" s="63"/>
      <c r="L366" s="63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63"/>
      <c r="K367" s="63"/>
      <c r="L367" s="63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63"/>
      <c r="K368" s="63"/>
      <c r="L368" s="63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63"/>
      <c r="K369" s="63"/>
      <c r="L369" s="63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63"/>
      <c r="K370" s="63"/>
      <c r="L370" s="63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63"/>
      <c r="K371" s="63"/>
      <c r="L371" s="63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63"/>
      <c r="K372" s="63"/>
      <c r="L372" s="63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63"/>
      <c r="K373" s="63"/>
      <c r="L373" s="63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63"/>
      <c r="K374" s="63"/>
      <c r="L374" s="63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63"/>
      <c r="K375" s="63"/>
      <c r="L375" s="63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63"/>
      <c r="K376" s="63"/>
      <c r="L376" s="63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63"/>
      <c r="K377" s="63"/>
      <c r="L377" s="63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63"/>
      <c r="K378" s="63"/>
      <c r="L378" s="63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63"/>
      <c r="K379" s="63"/>
      <c r="L379" s="63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63"/>
      <c r="K380" s="63"/>
      <c r="L380" s="63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63"/>
      <c r="K381" s="63"/>
      <c r="L381" s="63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63"/>
      <c r="K382" s="63"/>
      <c r="L382" s="63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63"/>
      <c r="K383" s="63"/>
      <c r="L383" s="63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63"/>
      <c r="K384" s="63"/>
      <c r="L384" s="63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63"/>
      <c r="K385" s="63"/>
      <c r="L385" s="63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63"/>
      <c r="K386" s="63"/>
      <c r="L386" s="63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63"/>
      <c r="K387" s="63"/>
      <c r="L387" s="63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63"/>
      <c r="K388" s="63"/>
      <c r="L388" s="63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63"/>
      <c r="K389" s="63"/>
      <c r="L389" s="63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63"/>
      <c r="K390" s="63"/>
      <c r="L390" s="63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63"/>
      <c r="K391" s="63"/>
      <c r="L391" s="63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63"/>
      <c r="K392" s="63"/>
      <c r="L392" s="63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63"/>
      <c r="K393" s="63"/>
      <c r="L393" s="63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63"/>
      <c r="K394" s="63"/>
      <c r="L394" s="63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63"/>
      <c r="K395" s="63"/>
      <c r="L395" s="63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63"/>
      <c r="K396" s="63"/>
      <c r="L396" s="63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63"/>
      <c r="K397" s="63"/>
      <c r="L397" s="63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63"/>
      <c r="K398" s="63"/>
      <c r="L398" s="63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63"/>
      <c r="K399" s="63"/>
      <c r="L399" s="63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63"/>
      <c r="K400" s="63"/>
      <c r="L400" s="63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63"/>
      <c r="K401" s="63"/>
      <c r="L401" s="63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63"/>
      <c r="K402" s="63"/>
      <c r="L402" s="63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63"/>
      <c r="K403" s="63"/>
      <c r="L403" s="63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63"/>
      <c r="K404" s="63"/>
      <c r="L404" s="63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63"/>
      <c r="K405" s="63"/>
      <c r="L405" s="63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63"/>
      <c r="K406" s="63"/>
      <c r="L406" s="63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63"/>
      <c r="K407" s="63"/>
      <c r="L407" s="63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63"/>
      <c r="K408" s="63"/>
      <c r="L408" s="63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63"/>
      <c r="K409" s="63"/>
      <c r="L409" s="63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63"/>
      <c r="K410" s="63"/>
      <c r="L410" s="63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63"/>
      <c r="K411" s="63"/>
      <c r="L411" s="63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63"/>
      <c r="K412" s="63"/>
      <c r="L412" s="63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63"/>
      <c r="K413" s="63"/>
      <c r="L413" s="63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63"/>
      <c r="K414" s="63"/>
      <c r="L414" s="63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63"/>
      <c r="K415" s="63"/>
      <c r="L415" s="63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63"/>
      <c r="K416" s="63"/>
      <c r="L416" s="63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63"/>
      <c r="K417" s="63"/>
      <c r="L417" s="63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63"/>
      <c r="K418" s="63"/>
      <c r="L418" s="63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63"/>
      <c r="K419" s="63"/>
      <c r="L419" s="63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63"/>
      <c r="K420" s="63"/>
      <c r="L420" s="63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63"/>
      <c r="K421" s="63"/>
      <c r="L421" s="63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63"/>
      <c r="K422" s="63"/>
      <c r="L422" s="63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63"/>
      <c r="K423" s="63"/>
      <c r="L423" s="63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63"/>
      <c r="K424" s="63"/>
      <c r="L424" s="63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63"/>
      <c r="K425" s="63"/>
      <c r="L425" s="63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63"/>
      <c r="K426" s="63"/>
      <c r="L426" s="63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63"/>
      <c r="K427" s="63"/>
      <c r="L427" s="63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63"/>
      <c r="K428" s="63"/>
      <c r="L428" s="63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63"/>
      <c r="K429" s="63"/>
      <c r="L429" s="63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63"/>
      <c r="K430" s="63"/>
      <c r="L430" s="63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63"/>
      <c r="K431" s="63"/>
      <c r="L431" s="63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63"/>
      <c r="K432" s="63"/>
      <c r="L432" s="63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63"/>
      <c r="K433" s="63"/>
      <c r="L433" s="63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63"/>
      <c r="K434" s="63"/>
      <c r="L434" s="63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63"/>
      <c r="K435" s="63"/>
      <c r="L435" s="63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63"/>
      <c r="K436" s="63"/>
      <c r="L436" s="63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63"/>
      <c r="K437" s="63"/>
      <c r="L437" s="63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63"/>
      <c r="K438" s="63"/>
      <c r="L438" s="63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63"/>
      <c r="K439" s="63"/>
      <c r="L439" s="63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63"/>
      <c r="K440" s="63"/>
      <c r="L440" s="63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63"/>
      <c r="K441" s="63"/>
      <c r="L441" s="63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63"/>
      <c r="K442" s="63"/>
      <c r="L442" s="63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63"/>
      <c r="K443" s="63"/>
      <c r="L443" s="63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63"/>
      <c r="K444" s="63"/>
      <c r="L444" s="63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63"/>
      <c r="K445" s="63"/>
      <c r="L445" s="63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63"/>
      <c r="K446" s="63"/>
      <c r="L446" s="63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63"/>
      <c r="K447" s="63"/>
      <c r="L447" s="63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63"/>
      <c r="K448" s="63"/>
      <c r="L448" s="63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63"/>
      <c r="K449" s="63"/>
      <c r="L449" s="63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63"/>
      <c r="K450" s="63"/>
      <c r="L450" s="63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63"/>
      <c r="K451" s="63"/>
      <c r="L451" s="63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63"/>
      <c r="K452" s="63"/>
      <c r="L452" s="63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63"/>
      <c r="K453" s="63"/>
      <c r="L453" s="63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63"/>
      <c r="K454" s="63"/>
      <c r="L454" s="63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63"/>
      <c r="K455" s="63"/>
      <c r="L455" s="63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63"/>
      <c r="K456" s="63"/>
      <c r="L456" s="63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63"/>
      <c r="K457" s="63"/>
      <c r="L457" s="63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63"/>
      <c r="K458" s="63"/>
      <c r="L458" s="63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63"/>
      <c r="K459" s="63"/>
      <c r="L459" s="63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63"/>
      <c r="K460" s="63"/>
      <c r="L460" s="63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63"/>
      <c r="K461" s="63"/>
      <c r="L461" s="63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63"/>
      <c r="K462" s="63"/>
      <c r="L462" s="63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63"/>
      <c r="K463" s="63"/>
      <c r="L463" s="63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63"/>
      <c r="K464" s="63"/>
      <c r="L464" s="63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63"/>
      <c r="K465" s="63"/>
      <c r="L465" s="63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63"/>
      <c r="K466" s="63"/>
      <c r="L466" s="63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63"/>
      <c r="K467" s="63"/>
      <c r="L467" s="63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63"/>
      <c r="K468" s="63"/>
      <c r="L468" s="63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63"/>
      <c r="K469" s="63"/>
      <c r="L469" s="63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63"/>
      <c r="K470" s="63"/>
      <c r="L470" s="63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63"/>
      <c r="K471" s="63"/>
      <c r="L471" s="63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63"/>
      <c r="K472" s="63"/>
      <c r="L472" s="63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63"/>
      <c r="K473" s="63"/>
      <c r="L473" s="63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63"/>
      <c r="K474" s="63"/>
      <c r="L474" s="63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63"/>
      <c r="K475" s="63"/>
      <c r="L475" s="63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63"/>
      <c r="K476" s="63"/>
      <c r="L476" s="63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63"/>
      <c r="K477" s="63"/>
      <c r="L477" s="63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63"/>
      <c r="K478" s="63"/>
      <c r="L478" s="63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63"/>
      <c r="K479" s="63"/>
      <c r="L479" s="63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63"/>
      <c r="K480" s="63"/>
      <c r="L480" s="63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63"/>
      <c r="K481" s="63"/>
      <c r="L481" s="63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63"/>
      <c r="K482" s="63"/>
      <c r="L482" s="63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63"/>
      <c r="K483" s="63"/>
      <c r="L483" s="63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63"/>
      <c r="K484" s="63"/>
      <c r="L484" s="63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63"/>
      <c r="K485" s="63"/>
      <c r="L485" s="63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63"/>
      <c r="K486" s="63"/>
      <c r="L486" s="63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63"/>
      <c r="K487" s="63"/>
      <c r="L487" s="63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63"/>
      <c r="K488" s="63"/>
      <c r="L488" s="63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63"/>
      <c r="K489" s="63"/>
      <c r="L489" s="63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63"/>
      <c r="K490" s="63"/>
      <c r="L490" s="63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63"/>
      <c r="K491" s="63"/>
      <c r="L491" s="63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63"/>
      <c r="K492" s="63"/>
      <c r="L492" s="63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63"/>
      <c r="K493" s="63"/>
      <c r="L493" s="63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63"/>
      <c r="K494" s="63"/>
      <c r="L494" s="63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63"/>
      <c r="K495" s="63"/>
      <c r="L495" s="63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63"/>
      <c r="K496" s="63"/>
      <c r="L496" s="63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63"/>
      <c r="K497" s="63"/>
      <c r="L497" s="63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63"/>
      <c r="K498" s="63"/>
      <c r="L498" s="63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63"/>
      <c r="K499" s="63"/>
      <c r="L499" s="63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63"/>
      <c r="K500" s="63"/>
      <c r="L500" s="63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63"/>
      <c r="K501" s="63"/>
      <c r="L501" s="63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63"/>
      <c r="K502" s="63"/>
      <c r="L502" s="63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63"/>
      <c r="K503" s="63"/>
      <c r="L503" s="63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63"/>
      <c r="K504" s="63"/>
      <c r="L504" s="63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63"/>
      <c r="K505" s="63"/>
      <c r="L505" s="63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63"/>
      <c r="K506" s="63"/>
      <c r="L506" s="63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63"/>
      <c r="K507" s="63"/>
      <c r="L507" s="63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63"/>
      <c r="K508" s="63"/>
      <c r="L508" s="63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63"/>
      <c r="K509" s="63"/>
      <c r="L509" s="63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63"/>
      <c r="K510" s="63"/>
      <c r="L510" s="63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63"/>
      <c r="K511" s="63"/>
      <c r="L511" s="63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63"/>
      <c r="K512" s="63"/>
      <c r="L512" s="63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63"/>
      <c r="K513" s="63"/>
      <c r="L513" s="63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63"/>
      <c r="K514" s="63"/>
      <c r="L514" s="63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63"/>
      <c r="K515" s="63"/>
      <c r="L515" s="63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63"/>
      <c r="K516" s="63"/>
      <c r="L516" s="63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63"/>
      <c r="K517" s="63"/>
      <c r="L517" s="63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63"/>
      <c r="K518" s="63"/>
      <c r="L518" s="63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63"/>
      <c r="K519" s="63"/>
      <c r="L519" s="63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63"/>
      <c r="K520" s="63"/>
      <c r="L520" s="63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63"/>
      <c r="K521" s="63"/>
      <c r="L521" s="63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63"/>
      <c r="K522" s="63"/>
      <c r="L522" s="63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63"/>
      <c r="K523" s="63"/>
      <c r="L523" s="63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63"/>
      <c r="K524" s="63"/>
      <c r="L524" s="63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63"/>
      <c r="K525" s="63"/>
      <c r="L525" s="63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63"/>
      <c r="K526" s="63"/>
      <c r="L526" s="63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63"/>
      <c r="K527" s="63"/>
      <c r="L527" s="63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63"/>
      <c r="K528" s="63"/>
      <c r="L528" s="63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63"/>
      <c r="K529" s="63"/>
      <c r="L529" s="63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63"/>
      <c r="K530" s="63"/>
      <c r="L530" s="63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63"/>
      <c r="K531" s="63"/>
      <c r="L531" s="63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63"/>
      <c r="K532" s="63"/>
      <c r="L532" s="63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63"/>
      <c r="K533" s="63"/>
      <c r="L533" s="63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63"/>
      <c r="K534" s="63"/>
      <c r="L534" s="63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63"/>
      <c r="K535" s="63"/>
      <c r="L535" s="63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63"/>
      <c r="K536" s="63"/>
      <c r="L536" s="63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63"/>
      <c r="K537" s="63"/>
      <c r="L537" s="63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63"/>
      <c r="K538" s="63"/>
      <c r="L538" s="63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63"/>
      <c r="K539" s="63"/>
      <c r="L539" s="63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63"/>
      <c r="K540" s="63"/>
      <c r="L540" s="63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63"/>
      <c r="K541" s="63"/>
      <c r="L541" s="63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63"/>
      <c r="K542" s="63"/>
      <c r="L542" s="63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63"/>
      <c r="K543" s="63"/>
      <c r="L543" s="63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63"/>
      <c r="K544" s="63"/>
      <c r="L544" s="63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63"/>
      <c r="K545" s="63"/>
      <c r="L545" s="63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63"/>
      <c r="K546" s="63"/>
      <c r="L546" s="63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63"/>
      <c r="K547" s="63"/>
      <c r="L547" s="63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63"/>
      <c r="K548" s="63"/>
      <c r="L548" s="63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63"/>
      <c r="K549" s="63"/>
      <c r="L549" s="63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63"/>
      <c r="K550" s="63"/>
      <c r="L550" s="63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63"/>
      <c r="K551" s="63"/>
      <c r="L551" s="63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63"/>
      <c r="K552" s="63"/>
      <c r="L552" s="63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63"/>
      <c r="K553" s="63"/>
      <c r="L553" s="63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63"/>
      <c r="K554" s="63"/>
      <c r="L554" s="63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63"/>
      <c r="K555" s="63"/>
      <c r="L555" s="63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63"/>
      <c r="K556" s="63"/>
      <c r="L556" s="63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63"/>
      <c r="K557" s="63"/>
      <c r="L557" s="63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63"/>
      <c r="K558" s="63"/>
      <c r="L558" s="63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63"/>
      <c r="K559" s="63"/>
      <c r="L559" s="63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63"/>
      <c r="K560" s="63"/>
      <c r="L560" s="63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63"/>
      <c r="K561" s="63"/>
      <c r="L561" s="63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63"/>
      <c r="K562" s="63"/>
      <c r="L562" s="63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63"/>
      <c r="K563" s="63"/>
      <c r="L563" s="63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63"/>
      <c r="K564" s="63"/>
      <c r="L564" s="63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63"/>
      <c r="K565" s="63"/>
      <c r="L565" s="63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63"/>
      <c r="K566" s="63"/>
      <c r="L566" s="63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63"/>
      <c r="K567" s="63"/>
      <c r="L567" s="63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63"/>
      <c r="K568" s="63"/>
      <c r="L568" s="63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63"/>
      <c r="K569" s="63"/>
      <c r="L569" s="63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63"/>
      <c r="K570" s="63"/>
      <c r="L570" s="63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63"/>
      <c r="K571" s="63"/>
      <c r="L571" s="63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63"/>
      <c r="K572" s="63"/>
      <c r="L572" s="63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63"/>
      <c r="K573" s="63"/>
      <c r="L573" s="63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63"/>
      <c r="K574" s="63"/>
      <c r="L574" s="63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63"/>
      <c r="K575" s="63"/>
      <c r="L575" s="63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63"/>
      <c r="K576" s="63"/>
      <c r="L576" s="63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63"/>
      <c r="K577" s="63"/>
      <c r="L577" s="63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63"/>
      <c r="K578" s="63"/>
      <c r="L578" s="63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63"/>
      <c r="K579" s="63"/>
      <c r="L579" s="63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63"/>
      <c r="K580" s="63"/>
      <c r="L580" s="63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63"/>
      <c r="K581" s="63"/>
      <c r="L581" s="63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63"/>
      <c r="K582" s="63"/>
      <c r="L582" s="63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63"/>
      <c r="K583" s="63"/>
      <c r="L583" s="63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63"/>
      <c r="K584" s="63"/>
      <c r="L584" s="63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63"/>
      <c r="K585" s="63"/>
      <c r="L585" s="63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63"/>
      <c r="K586" s="63"/>
      <c r="L586" s="63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63"/>
      <c r="K587" s="63"/>
      <c r="L587" s="63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63"/>
      <c r="K588" s="63"/>
      <c r="L588" s="63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63"/>
      <c r="K589" s="63"/>
      <c r="L589" s="63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63"/>
      <c r="K590" s="63"/>
      <c r="L590" s="63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63"/>
      <c r="K591" s="63"/>
      <c r="L591" s="63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63"/>
      <c r="K592" s="63"/>
      <c r="L592" s="63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63"/>
      <c r="K593" s="63"/>
      <c r="L593" s="63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63"/>
      <c r="K594" s="63"/>
      <c r="L594" s="63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63"/>
      <c r="K595" s="63"/>
      <c r="L595" s="63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63"/>
      <c r="K596" s="63"/>
      <c r="L596" s="63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63"/>
      <c r="K597" s="63"/>
      <c r="L597" s="63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63"/>
      <c r="K598" s="63"/>
      <c r="L598" s="63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63"/>
      <c r="K599" s="63"/>
      <c r="L599" s="63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63"/>
      <c r="K600" s="63"/>
      <c r="L600" s="63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63"/>
      <c r="K601" s="63"/>
      <c r="L601" s="63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63"/>
      <c r="K602" s="63"/>
      <c r="L602" s="63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63"/>
      <c r="K603" s="63"/>
      <c r="L603" s="63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63"/>
      <c r="K604" s="63"/>
      <c r="L604" s="63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63"/>
      <c r="K605" s="63"/>
      <c r="L605" s="63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63"/>
      <c r="K606" s="63"/>
      <c r="L606" s="63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63"/>
      <c r="K607" s="63"/>
      <c r="L607" s="63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63"/>
      <c r="K608" s="63"/>
      <c r="L608" s="63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63"/>
      <c r="K609" s="63"/>
      <c r="L609" s="63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63"/>
      <c r="K610" s="63"/>
      <c r="L610" s="63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63"/>
      <c r="K611" s="63"/>
      <c r="L611" s="63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63"/>
      <c r="K612" s="63"/>
      <c r="L612" s="63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63"/>
      <c r="K613" s="63"/>
      <c r="L613" s="63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63"/>
      <c r="K614" s="63"/>
      <c r="L614" s="63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63"/>
      <c r="K615" s="63"/>
      <c r="L615" s="63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63"/>
      <c r="K616" s="63"/>
      <c r="L616" s="63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63"/>
      <c r="K617" s="63"/>
      <c r="L617" s="63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63"/>
      <c r="K618" s="63"/>
      <c r="L618" s="63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63"/>
      <c r="K619" s="63"/>
      <c r="L619" s="63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63"/>
      <c r="K620" s="63"/>
      <c r="L620" s="63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63"/>
      <c r="K621" s="63"/>
      <c r="L621" s="63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63"/>
      <c r="K622" s="63"/>
      <c r="L622" s="63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63"/>
      <c r="K623" s="63"/>
      <c r="L623" s="63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63"/>
      <c r="K624" s="63"/>
      <c r="L624" s="63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63"/>
      <c r="K625" s="63"/>
      <c r="L625" s="63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63"/>
      <c r="K626" s="63"/>
      <c r="L626" s="63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63"/>
      <c r="K627" s="63"/>
      <c r="L627" s="63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63"/>
      <c r="K628" s="63"/>
      <c r="L628" s="63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63"/>
      <c r="K629" s="63"/>
      <c r="L629" s="63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63"/>
      <c r="K630" s="63"/>
      <c r="L630" s="63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63"/>
      <c r="K631" s="63"/>
      <c r="L631" s="63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63"/>
      <c r="K632" s="63"/>
      <c r="L632" s="63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63"/>
      <c r="K633" s="63"/>
      <c r="L633" s="63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63"/>
      <c r="K634" s="63"/>
      <c r="L634" s="63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63"/>
      <c r="K635" s="63"/>
      <c r="L635" s="63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63"/>
      <c r="K636" s="63"/>
      <c r="L636" s="63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63"/>
      <c r="K637" s="63"/>
      <c r="L637" s="63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63"/>
      <c r="K638" s="63"/>
      <c r="L638" s="63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63"/>
      <c r="K639" s="63"/>
      <c r="L639" s="63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63"/>
      <c r="K640" s="63"/>
      <c r="L640" s="63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63"/>
      <c r="K641" s="63"/>
      <c r="L641" s="63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63"/>
      <c r="K642" s="63"/>
      <c r="L642" s="63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63"/>
      <c r="K643" s="63"/>
      <c r="L643" s="63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63"/>
      <c r="K644" s="63"/>
      <c r="L644" s="63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63"/>
      <c r="K645" s="63"/>
      <c r="L645" s="63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63"/>
      <c r="K646" s="63"/>
      <c r="L646" s="63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63"/>
      <c r="K647" s="63"/>
      <c r="L647" s="63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63"/>
      <c r="K648" s="63"/>
      <c r="L648" s="63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63"/>
      <c r="K649" s="63"/>
      <c r="L649" s="63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63"/>
      <c r="K650" s="63"/>
      <c r="L650" s="63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63"/>
      <c r="K651" s="63"/>
      <c r="L651" s="63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63"/>
      <c r="K652" s="63"/>
      <c r="L652" s="63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63"/>
      <c r="K653" s="63"/>
      <c r="L653" s="63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63"/>
      <c r="K654" s="63"/>
      <c r="L654" s="63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63"/>
      <c r="K655" s="63"/>
      <c r="L655" s="63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63"/>
      <c r="K656" s="63"/>
      <c r="L656" s="63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63"/>
      <c r="K657" s="63"/>
      <c r="L657" s="63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63"/>
      <c r="K658" s="63"/>
      <c r="L658" s="63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63"/>
      <c r="K659" s="63"/>
      <c r="L659" s="63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63"/>
      <c r="K660" s="63"/>
      <c r="L660" s="63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63"/>
      <c r="K661" s="63"/>
      <c r="L661" s="63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63"/>
      <c r="K662" s="63"/>
      <c r="L662" s="63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63"/>
      <c r="K663" s="63"/>
      <c r="L663" s="63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63"/>
      <c r="K664" s="63"/>
      <c r="L664" s="63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63"/>
      <c r="K665" s="63"/>
      <c r="L665" s="63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63"/>
      <c r="K666" s="63"/>
      <c r="L666" s="63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63"/>
      <c r="K667" s="63"/>
      <c r="L667" s="63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63"/>
      <c r="K668" s="63"/>
      <c r="L668" s="63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63"/>
      <c r="K669" s="63"/>
      <c r="L669" s="63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63"/>
      <c r="K670" s="63"/>
      <c r="L670" s="63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63"/>
      <c r="K671" s="63"/>
      <c r="L671" s="63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63"/>
      <c r="K672" s="63"/>
      <c r="L672" s="63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63"/>
      <c r="K673" s="63"/>
      <c r="L673" s="63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63"/>
      <c r="K674" s="63"/>
      <c r="L674" s="63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63"/>
      <c r="K675" s="63"/>
      <c r="L675" s="63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63"/>
      <c r="K676" s="63"/>
      <c r="L676" s="63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63"/>
      <c r="K677" s="63"/>
      <c r="L677" s="63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63"/>
      <c r="K678" s="63"/>
      <c r="L678" s="63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63"/>
      <c r="K679" s="63"/>
      <c r="L679" s="63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63"/>
      <c r="K680" s="63"/>
      <c r="L680" s="63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63"/>
      <c r="K681" s="63"/>
      <c r="L681" s="63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63"/>
      <c r="K682" s="63"/>
      <c r="L682" s="63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63"/>
      <c r="K683" s="63"/>
      <c r="L683" s="63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63"/>
      <c r="K684" s="63"/>
      <c r="L684" s="63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63"/>
      <c r="K685" s="63"/>
      <c r="L685" s="63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63"/>
      <c r="K686" s="63"/>
      <c r="L686" s="63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63"/>
      <c r="K687" s="63"/>
      <c r="L687" s="63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63"/>
      <c r="K688" s="63"/>
      <c r="L688" s="63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63"/>
      <c r="K689" s="63"/>
      <c r="L689" s="63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63"/>
      <c r="K690" s="63"/>
      <c r="L690" s="63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63"/>
      <c r="K691" s="63"/>
      <c r="L691" s="63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63"/>
      <c r="K692" s="63"/>
      <c r="L692" s="63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63"/>
      <c r="K693" s="63"/>
      <c r="L693" s="63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63"/>
      <c r="K694" s="63"/>
      <c r="L694" s="63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63"/>
      <c r="K695" s="63"/>
      <c r="L695" s="63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63"/>
      <c r="K696" s="63"/>
      <c r="L696" s="63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63"/>
      <c r="K697" s="63"/>
      <c r="L697" s="63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63"/>
      <c r="K698" s="63"/>
      <c r="L698" s="63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63"/>
      <c r="K699" s="63"/>
      <c r="L699" s="63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63"/>
      <c r="K700" s="63"/>
      <c r="L700" s="63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63"/>
      <c r="K701" s="63"/>
      <c r="L701" s="63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63"/>
      <c r="K702" s="63"/>
      <c r="L702" s="63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63"/>
      <c r="K703" s="63"/>
      <c r="L703" s="63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63"/>
      <c r="K704" s="63"/>
      <c r="L704" s="63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63"/>
      <c r="K705" s="63"/>
      <c r="L705" s="63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63"/>
      <c r="K706" s="63"/>
      <c r="L706" s="63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63"/>
      <c r="K707" s="63"/>
      <c r="L707" s="63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63"/>
      <c r="K708" s="63"/>
      <c r="L708" s="63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63"/>
      <c r="K709" s="63"/>
      <c r="L709" s="63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63"/>
      <c r="K710" s="63"/>
      <c r="L710" s="63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63"/>
      <c r="K711" s="63"/>
      <c r="L711" s="63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63"/>
      <c r="K712" s="63"/>
      <c r="L712" s="63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63"/>
      <c r="K713" s="63"/>
      <c r="L713" s="63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63"/>
      <c r="K714" s="63"/>
      <c r="L714" s="63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63"/>
      <c r="K715" s="63"/>
      <c r="L715" s="63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63"/>
      <c r="K716" s="63"/>
      <c r="L716" s="63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63"/>
      <c r="K717" s="63"/>
      <c r="L717" s="63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63"/>
      <c r="K718" s="63"/>
      <c r="L718" s="63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63"/>
      <c r="K719" s="63"/>
      <c r="L719" s="63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63"/>
      <c r="K720" s="63"/>
      <c r="L720" s="63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63"/>
      <c r="K721" s="63"/>
      <c r="L721" s="63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63"/>
      <c r="K722" s="63"/>
      <c r="L722" s="63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63"/>
      <c r="K723" s="63"/>
      <c r="L723" s="63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63"/>
      <c r="K724" s="63"/>
      <c r="L724" s="63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63"/>
      <c r="K725" s="63"/>
      <c r="L725" s="63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63"/>
      <c r="K726" s="63"/>
      <c r="L726" s="63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63"/>
      <c r="K727" s="63"/>
      <c r="L727" s="63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63"/>
      <c r="K728" s="63"/>
      <c r="L728" s="63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63"/>
      <c r="K729" s="63"/>
      <c r="L729" s="63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63"/>
      <c r="K730" s="63"/>
      <c r="L730" s="63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63"/>
      <c r="K731" s="63"/>
      <c r="L731" s="63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63"/>
      <c r="K732" s="63"/>
      <c r="L732" s="63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63"/>
      <c r="K733" s="63"/>
      <c r="L733" s="63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63"/>
      <c r="K734" s="63"/>
      <c r="L734" s="63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63"/>
      <c r="K735" s="63"/>
      <c r="L735" s="63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63"/>
      <c r="K736" s="63"/>
      <c r="L736" s="63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63"/>
      <c r="K737" s="63"/>
      <c r="L737" s="63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63"/>
      <c r="K738" s="63"/>
      <c r="L738" s="63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63"/>
      <c r="K739" s="63"/>
      <c r="L739" s="63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63"/>
      <c r="K740" s="63"/>
      <c r="L740" s="63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63"/>
      <c r="K741" s="63"/>
      <c r="L741" s="63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63"/>
      <c r="K742" s="63"/>
      <c r="L742" s="63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63"/>
      <c r="K743" s="63"/>
      <c r="L743" s="63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63"/>
      <c r="K744" s="63"/>
      <c r="L744" s="63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63"/>
      <c r="K745" s="63"/>
      <c r="L745" s="63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63"/>
      <c r="K746" s="63"/>
      <c r="L746" s="63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63"/>
      <c r="K747" s="63"/>
      <c r="L747" s="63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63"/>
      <c r="K748" s="63"/>
      <c r="L748" s="63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63"/>
      <c r="K749" s="63"/>
      <c r="L749" s="63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63"/>
      <c r="K750" s="63"/>
      <c r="L750" s="63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63"/>
      <c r="K751" s="63"/>
      <c r="L751" s="63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63"/>
      <c r="K752" s="63"/>
      <c r="L752" s="63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63"/>
      <c r="K753" s="63"/>
      <c r="L753" s="63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63"/>
      <c r="K754" s="63"/>
      <c r="L754" s="63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63"/>
      <c r="K755" s="63"/>
      <c r="L755" s="63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63"/>
      <c r="K756" s="63"/>
      <c r="L756" s="63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63"/>
      <c r="K757" s="63"/>
      <c r="L757" s="63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63"/>
      <c r="K758" s="63"/>
      <c r="L758" s="63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63"/>
      <c r="K759" s="63"/>
      <c r="L759" s="63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63"/>
      <c r="K760" s="63"/>
      <c r="L760" s="63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63"/>
      <c r="K761" s="63"/>
      <c r="L761" s="63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63"/>
      <c r="K762" s="63"/>
      <c r="L762" s="63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63"/>
      <c r="K763" s="63"/>
      <c r="L763" s="63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63"/>
      <c r="K764" s="63"/>
      <c r="L764" s="63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63"/>
      <c r="K765" s="63"/>
      <c r="L765" s="63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63"/>
      <c r="K766" s="63"/>
      <c r="L766" s="63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63"/>
      <c r="K767" s="63"/>
      <c r="L767" s="63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63"/>
      <c r="K768" s="63"/>
      <c r="L768" s="63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63"/>
      <c r="K769" s="63"/>
      <c r="L769" s="63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63"/>
      <c r="K770" s="63"/>
      <c r="L770" s="63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63"/>
      <c r="K771" s="63"/>
      <c r="L771" s="63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63"/>
      <c r="K772" s="63"/>
      <c r="L772" s="63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63"/>
      <c r="K773" s="63"/>
      <c r="L773" s="63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63"/>
      <c r="K774" s="63"/>
      <c r="L774" s="63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63"/>
      <c r="K775" s="63"/>
      <c r="L775" s="63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63"/>
      <c r="K776" s="63"/>
      <c r="L776" s="63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63"/>
      <c r="K777" s="63"/>
      <c r="L777" s="63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63"/>
      <c r="K778" s="63"/>
      <c r="L778" s="63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63"/>
      <c r="K779" s="63"/>
      <c r="L779" s="63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63"/>
      <c r="K780" s="63"/>
      <c r="L780" s="63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63"/>
      <c r="K781" s="63"/>
      <c r="L781" s="63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63"/>
      <c r="K782" s="63"/>
      <c r="L782" s="63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63"/>
      <c r="K783" s="63"/>
      <c r="L783" s="63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63"/>
      <c r="K784" s="63"/>
      <c r="L784" s="63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63"/>
      <c r="K785" s="63"/>
      <c r="L785" s="63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63"/>
      <c r="K786" s="63"/>
      <c r="L786" s="63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63"/>
      <c r="K787" s="63"/>
      <c r="L787" s="63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63"/>
      <c r="K788" s="63"/>
      <c r="L788" s="63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63"/>
      <c r="K789" s="63"/>
      <c r="L789" s="63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63"/>
      <c r="K790" s="63"/>
      <c r="L790" s="63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63"/>
      <c r="K791" s="63"/>
      <c r="L791" s="63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63"/>
      <c r="K792" s="63"/>
      <c r="L792" s="63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63"/>
      <c r="K793" s="63"/>
      <c r="L793" s="63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63"/>
      <c r="K794" s="63"/>
      <c r="L794" s="63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63"/>
      <c r="K795" s="63"/>
      <c r="L795" s="63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63"/>
      <c r="K796" s="63"/>
      <c r="L796" s="63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63"/>
      <c r="K797" s="63"/>
      <c r="L797" s="63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63"/>
      <c r="K798" s="63"/>
      <c r="L798" s="63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63"/>
      <c r="K799" s="63"/>
      <c r="L799" s="63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63"/>
      <c r="K800" s="63"/>
      <c r="L800" s="63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63"/>
      <c r="K801" s="63"/>
      <c r="L801" s="63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63"/>
      <c r="K802" s="63"/>
      <c r="L802" s="63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63"/>
      <c r="K803" s="63"/>
      <c r="L803" s="63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63"/>
      <c r="K804" s="63"/>
      <c r="L804" s="63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63"/>
      <c r="K805" s="63"/>
      <c r="L805" s="63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63"/>
      <c r="K806" s="63"/>
      <c r="L806" s="63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63"/>
      <c r="K807" s="63"/>
      <c r="L807" s="63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63"/>
      <c r="K808" s="63"/>
      <c r="L808" s="63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63"/>
      <c r="K809" s="63"/>
      <c r="L809" s="63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63"/>
      <c r="K810" s="63"/>
      <c r="L810" s="63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63"/>
      <c r="K811" s="63"/>
      <c r="L811" s="63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63"/>
      <c r="K812" s="63"/>
      <c r="L812" s="63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63"/>
      <c r="K813" s="63"/>
      <c r="L813" s="63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63"/>
      <c r="K814" s="63"/>
      <c r="L814" s="63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63"/>
      <c r="K815" s="63"/>
      <c r="L815" s="63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63"/>
      <c r="K816" s="63"/>
      <c r="L816" s="63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63"/>
      <c r="K817" s="63"/>
      <c r="L817" s="63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63"/>
      <c r="K818" s="63"/>
      <c r="L818" s="63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63"/>
      <c r="K819" s="63"/>
      <c r="L819" s="63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63"/>
      <c r="K820" s="63"/>
      <c r="L820" s="63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63"/>
      <c r="K821" s="63"/>
      <c r="L821" s="63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63"/>
      <c r="K822" s="63"/>
      <c r="L822" s="63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63"/>
      <c r="K823" s="63"/>
      <c r="L823" s="63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63"/>
      <c r="K824" s="63"/>
      <c r="L824" s="63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63"/>
      <c r="K825" s="63"/>
      <c r="L825" s="63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63"/>
      <c r="K826" s="63"/>
      <c r="L826" s="63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63"/>
      <c r="K827" s="63"/>
      <c r="L827" s="63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63"/>
      <c r="K828" s="63"/>
      <c r="L828" s="63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63"/>
      <c r="K829" s="63"/>
      <c r="L829" s="63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63"/>
      <c r="K830" s="63"/>
      <c r="L830" s="63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63"/>
      <c r="K831" s="63"/>
      <c r="L831" s="63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63"/>
      <c r="K832" s="63"/>
      <c r="L832" s="63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63"/>
      <c r="K833" s="63"/>
      <c r="L833" s="63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63"/>
      <c r="K834" s="63"/>
      <c r="L834" s="63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63"/>
      <c r="K835" s="63"/>
      <c r="L835" s="63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63"/>
      <c r="K836" s="63"/>
      <c r="L836" s="63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63"/>
      <c r="K837" s="63"/>
      <c r="L837" s="63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63"/>
      <c r="K838" s="63"/>
      <c r="L838" s="63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63"/>
      <c r="K839" s="63"/>
      <c r="L839" s="63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63"/>
      <c r="K840" s="63"/>
      <c r="L840" s="63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63"/>
      <c r="K841" s="63"/>
      <c r="L841" s="63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63"/>
      <c r="K842" s="63"/>
      <c r="L842" s="63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63"/>
      <c r="K843" s="63"/>
      <c r="L843" s="63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63"/>
      <c r="K844" s="63"/>
      <c r="L844" s="63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63"/>
      <c r="K845" s="63"/>
      <c r="L845" s="63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63"/>
      <c r="K846" s="63"/>
      <c r="L846" s="63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63"/>
      <c r="K847" s="63"/>
      <c r="L847" s="63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63"/>
      <c r="K848" s="63"/>
      <c r="L848" s="63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63"/>
      <c r="K849" s="63"/>
      <c r="L849" s="63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63"/>
      <c r="K850" s="63"/>
      <c r="L850" s="63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63"/>
      <c r="K851" s="63"/>
      <c r="L851" s="63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63"/>
      <c r="K852" s="63"/>
      <c r="L852" s="63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63"/>
      <c r="K853" s="63"/>
      <c r="L853" s="63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63"/>
      <c r="K854" s="63"/>
      <c r="L854" s="63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63"/>
      <c r="K855" s="63"/>
      <c r="L855" s="63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63"/>
      <c r="K856" s="63"/>
      <c r="L856" s="63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63"/>
      <c r="K857" s="63"/>
      <c r="L857" s="63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63"/>
      <c r="K858" s="63"/>
      <c r="L858" s="63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63"/>
      <c r="K859" s="63"/>
      <c r="L859" s="63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63"/>
      <c r="K860" s="63"/>
      <c r="L860" s="63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63"/>
      <c r="K861" s="63"/>
      <c r="L861" s="63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63"/>
      <c r="K862" s="63"/>
      <c r="L862" s="63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63"/>
      <c r="K863" s="63"/>
      <c r="L863" s="63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63"/>
      <c r="K864" s="63"/>
      <c r="L864" s="63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63"/>
      <c r="K865" s="63"/>
      <c r="L865" s="63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63"/>
      <c r="K866" s="63"/>
      <c r="L866" s="63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63"/>
      <c r="K867" s="63"/>
      <c r="L867" s="63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63"/>
      <c r="K868" s="63"/>
      <c r="L868" s="63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63"/>
      <c r="K869" s="63"/>
      <c r="L869" s="63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63"/>
      <c r="K870" s="63"/>
      <c r="L870" s="63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63"/>
      <c r="K871" s="63"/>
      <c r="L871" s="63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63"/>
      <c r="K872" s="63"/>
      <c r="L872" s="63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63"/>
      <c r="K873" s="63"/>
      <c r="L873" s="63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63"/>
      <c r="K874" s="63"/>
      <c r="L874" s="63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63"/>
      <c r="K875" s="63"/>
      <c r="L875" s="63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63"/>
      <c r="K876" s="63"/>
      <c r="L876" s="63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63"/>
      <c r="K877" s="63"/>
      <c r="L877" s="63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63"/>
      <c r="K878" s="63"/>
      <c r="L878" s="63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63"/>
      <c r="K879" s="63"/>
      <c r="L879" s="63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63"/>
      <c r="K880" s="63"/>
      <c r="L880" s="63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63"/>
      <c r="K881" s="63"/>
      <c r="L881" s="63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63"/>
      <c r="K882" s="63"/>
      <c r="L882" s="63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63"/>
      <c r="K883" s="63"/>
      <c r="L883" s="63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63"/>
      <c r="K884" s="63"/>
      <c r="L884" s="63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63"/>
      <c r="K885" s="63"/>
      <c r="L885" s="63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63"/>
      <c r="K886" s="63"/>
      <c r="L886" s="63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63"/>
      <c r="K887" s="63"/>
      <c r="L887" s="63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63"/>
      <c r="K888" s="63"/>
      <c r="L888" s="63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63"/>
      <c r="K889" s="63"/>
      <c r="L889" s="63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63"/>
      <c r="K890" s="63"/>
      <c r="L890" s="63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63"/>
      <c r="K891" s="63"/>
      <c r="L891" s="63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63"/>
      <c r="K892" s="63"/>
      <c r="L892" s="63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63"/>
      <c r="K893" s="63"/>
      <c r="L893" s="63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63"/>
      <c r="K894" s="63"/>
      <c r="L894" s="63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63"/>
      <c r="K895" s="63"/>
      <c r="L895" s="63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63"/>
      <c r="K896" s="63"/>
      <c r="L896" s="63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63"/>
      <c r="K897" s="63"/>
      <c r="L897" s="63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63"/>
      <c r="K898" s="63"/>
      <c r="L898" s="63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63"/>
      <c r="K899" s="63"/>
      <c r="L899" s="63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63"/>
      <c r="K900" s="63"/>
      <c r="L900" s="63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63"/>
      <c r="K901" s="63"/>
      <c r="L901" s="63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63"/>
      <c r="K902" s="63"/>
      <c r="L902" s="63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63"/>
      <c r="K903" s="63"/>
      <c r="L903" s="63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63"/>
      <c r="K904" s="63"/>
      <c r="L904" s="63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63"/>
      <c r="K905" s="63"/>
      <c r="L905" s="63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63"/>
      <c r="K906" s="63"/>
      <c r="L906" s="63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63"/>
      <c r="K907" s="63"/>
      <c r="L907" s="63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63"/>
      <c r="K908" s="63"/>
      <c r="L908" s="63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63"/>
      <c r="K909" s="63"/>
      <c r="L909" s="63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63"/>
      <c r="K910" s="63"/>
      <c r="L910" s="63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63"/>
      <c r="K911" s="63"/>
      <c r="L911" s="63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63"/>
      <c r="K912" s="63"/>
      <c r="L912" s="63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63"/>
      <c r="K913" s="63"/>
      <c r="L913" s="63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63"/>
      <c r="K914" s="63"/>
      <c r="L914" s="63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63"/>
      <c r="K915" s="63"/>
      <c r="L915" s="63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63"/>
      <c r="K916" s="63"/>
      <c r="L916" s="63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63"/>
      <c r="K917" s="63"/>
      <c r="L917" s="63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63"/>
      <c r="K918" s="63"/>
      <c r="L918" s="63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63"/>
      <c r="K919" s="63"/>
      <c r="L919" s="63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63"/>
      <c r="K920" s="63"/>
      <c r="L920" s="63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63"/>
      <c r="K921" s="63"/>
      <c r="L921" s="63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63"/>
      <c r="K922" s="63"/>
      <c r="L922" s="63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63"/>
      <c r="K923" s="63"/>
      <c r="L923" s="63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63"/>
      <c r="K924" s="63"/>
      <c r="L924" s="63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63"/>
      <c r="K925" s="63"/>
      <c r="L925" s="63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63"/>
      <c r="K926" s="63"/>
      <c r="L926" s="63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63"/>
      <c r="K927" s="63"/>
      <c r="L927" s="63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63"/>
      <c r="K928" s="63"/>
      <c r="L928" s="63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63"/>
      <c r="K929" s="63"/>
      <c r="L929" s="63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63"/>
      <c r="K930" s="63"/>
      <c r="L930" s="63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63"/>
      <c r="K931" s="63"/>
      <c r="L931" s="63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63"/>
      <c r="K932" s="63"/>
      <c r="L932" s="63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63"/>
      <c r="K933" s="63"/>
      <c r="L933" s="63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63"/>
      <c r="K934" s="63"/>
      <c r="L934" s="63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63"/>
      <c r="K935" s="63"/>
      <c r="L935" s="63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63"/>
      <c r="K936" s="63"/>
      <c r="L936" s="63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63"/>
      <c r="K937" s="63"/>
      <c r="L937" s="63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63"/>
      <c r="K938" s="63"/>
      <c r="L938" s="63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63"/>
      <c r="K939" s="63"/>
      <c r="L939" s="63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63"/>
      <c r="K940" s="63"/>
      <c r="L940" s="63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63"/>
      <c r="K941" s="63"/>
      <c r="L941" s="63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63"/>
      <c r="K942" s="63"/>
      <c r="L942" s="63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63"/>
      <c r="K943" s="63"/>
      <c r="L943" s="63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63"/>
      <c r="K944" s="63"/>
      <c r="L944" s="63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63"/>
      <c r="K945" s="63"/>
      <c r="L945" s="63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63"/>
      <c r="K946" s="63"/>
      <c r="L946" s="63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63"/>
      <c r="K947" s="63"/>
      <c r="L947" s="63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63"/>
      <c r="K948" s="63"/>
      <c r="L948" s="63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63"/>
      <c r="K949" s="63"/>
      <c r="L949" s="63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63"/>
      <c r="K950" s="63"/>
      <c r="L950" s="63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63"/>
      <c r="K951" s="63"/>
      <c r="L951" s="63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63"/>
      <c r="K952" s="63"/>
      <c r="L952" s="63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63"/>
      <c r="K953" s="63"/>
      <c r="L953" s="63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63"/>
      <c r="K954" s="63"/>
      <c r="L954" s="63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63"/>
      <c r="K955" s="63"/>
      <c r="L955" s="63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63"/>
      <c r="K956" s="63"/>
      <c r="L956" s="63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63"/>
      <c r="K957" s="63"/>
      <c r="L957" s="63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63"/>
      <c r="K958" s="63"/>
      <c r="L958" s="63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63"/>
      <c r="K959" s="63"/>
      <c r="L959" s="63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63"/>
      <c r="K960" s="63"/>
      <c r="L960" s="63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63"/>
      <c r="K961" s="63"/>
      <c r="L961" s="63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63"/>
      <c r="K962" s="63"/>
      <c r="L962" s="63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63"/>
      <c r="K963" s="63"/>
      <c r="L963" s="63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63"/>
      <c r="K964" s="63"/>
      <c r="L964" s="63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63"/>
      <c r="K965" s="63"/>
      <c r="L965" s="63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63"/>
      <c r="K966" s="63"/>
      <c r="L966" s="63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63"/>
      <c r="K967" s="63"/>
      <c r="L967" s="63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63"/>
      <c r="K968" s="63"/>
      <c r="L968" s="63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63"/>
      <c r="K969" s="63"/>
      <c r="L969" s="63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63"/>
      <c r="K970" s="63"/>
      <c r="L970" s="63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63"/>
      <c r="K971" s="63"/>
      <c r="L971" s="63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63"/>
      <c r="K972" s="63"/>
      <c r="L972" s="63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63"/>
      <c r="K973" s="63"/>
      <c r="L973" s="63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63"/>
      <c r="K974" s="63"/>
      <c r="L974" s="63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63"/>
      <c r="K975" s="63"/>
      <c r="L975" s="63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63"/>
      <c r="K976" s="63"/>
      <c r="L976" s="63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63"/>
      <c r="K977" s="63"/>
      <c r="L977" s="63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63"/>
      <c r="K978" s="63"/>
      <c r="L978" s="63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63"/>
      <c r="K979" s="63"/>
      <c r="L979" s="63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63"/>
      <c r="K980" s="63"/>
      <c r="L980" s="63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63"/>
      <c r="K981" s="63"/>
      <c r="L981" s="63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63"/>
      <c r="K982" s="63"/>
      <c r="L982" s="63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63"/>
      <c r="K983" s="63"/>
      <c r="L983" s="63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63"/>
      <c r="K984" s="63"/>
      <c r="L984" s="63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63"/>
      <c r="K985" s="63"/>
      <c r="L985" s="63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63"/>
      <c r="K986" s="63"/>
      <c r="L986" s="63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63"/>
      <c r="K987" s="63"/>
      <c r="L987" s="63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63"/>
      <c r="K988" s="63"/>
      <c r="L988" s="63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63"/>
      <c r="K989" s="63"/>
      <c r="L989" s="63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63"/>
      <c r="K990" s="63"/>
      <c r="L990" s="63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63"/>
      <c r="K991" s="63"/>
      <c r="L991" s="63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63"/>
      <c r="K992" s="63"/>
      <c r="L992" s="63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63"/>
      <c r="K993" s="63"/>
      <c r="L993" s="63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63"/>
      <c r="K994" s="63"/>
      <c r="L994" s="63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63"/>
      <c r="K995" s="63"/>
      <c r="L995" s="63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63"/>
      <c r="K996" s="63"/>
      <c r="L996" s="63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63"/>
      <c r="K997" s="63"/>
      <c r="L997" s="63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63"/>
      <c r="K998" s="63"/>
      <c r="L998" s="63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63"/>
      <c r="K999" s="63"/>
      <c r="L999" s="63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63"/>
      <c r="K1000" s="63"/>
      <c r="L1000" s="63"/>
      <c r="M1000" s="3"/>
      <c r="N1000" s="3"/>
      <c r="O1000" s="3"/>
      <c r="Q1000" s="4"/>
      <c r="R1000" s="5"/>
      <c r="S1000" s="5"/>
    </row>
  </sheetData>
  <sheetProtection password="CC27" sheet="1" objects="1" scenarios="1"/>
  <mergeCells count="6">
    <mergeCell ref="D34:K34"/>
    <mergeCell ref="B2:S2"/>
    <mergeCell ref="M3:O3"/>
    <mergeCell ref="Q3:S3"/>
    <mergeCell ref="J4:L4"/>
    <mergeCell ref="D32:K32"/>
  </mergeCells>
  <pageMargins left="0.511811024" right="0.511811024" top="0.78740157499999996" bottom="0.7874015749999999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0"/>
  <sheetViews>
    <sheetView workbookViewId="0">
      <selection activeCell="E33" sqref="E33"/>
    </sheetView>
  </sheetViews>
  <sheetFormatPr defaultColWidth="14.42578125" defaultRowHeight="15" customHeight="1"/>
  <cols>
    <col min="1" max="1" width="2.7109375" customWidth="1"/>
    <col min="2" max="2" width="7.42578125" customWidth="1"/>
    <col min="3" max="3" width="22.7109375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38.85546875" customWidth="1"/>
    <col min="9" max="9" width="25.5703125" customWidth="1"/>
    <col min="10" max="12" width="9.140625" customWidth="1"/>
    <col min="13" max="15" width="14.140625" customWidth="1"/>
    <col min="16" max="16" width="13.5703125" customWidth="1"/>
    <col min="17" max="17" width="16.28515625" customWidth="1"/>
    <col min="18" max="18" width="14.85546875" customWidth="1"/>
    <col min="19" max="19" width="18" customWidth="1"/>
    <col min="20" max="36" width="8.7109375" customWidth="1"/>
  </cols>
  <sheetData>
    <row r="1" spans="1:36" ht="24.75" customHeight="1">
      <c r="C1" s="1"/>
      <c r="I1" s="2"/>
      <c r="J1" s="63"/>
      <c r="K1" s="63"/>
      <c r="L1" s="63"/>
      <c r="M1" s="3"/>
      <c r="N1" s="3"/>
      <c r="O1" s="3"/>
      <c r="Q1" s="4"/>
      <c r="R1" s="5"/>
      <c r="S1" s="5"/>
    </row>
    <row r="2" spans="1:36" ht="24.75" customHeight="1">
      <c r="A2" s="64"/>
      <c r="B2" s="312" t="s">
        <v>762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32.25" customHeight="1">
      <c r="A3" s="64"/>
      <c r="B3" s="6"/>
      <c r="C3" s="6"/>
      <c r="D3" s="6"/>
      <c r="E3" s="6"/>
      <c r="F3" s="6"/>
      <c r="G3" s="6"/>
      <c r="H3" s="6"/>
      <c r="I3" s="6"/>
      <c r="J3" s="6"/>
      <c r="K3" s="6"/>
      <c r="L3" s="226"/>
      <c r="M3" s="321" t="s">
        <v>1</v>
      </c>
      <c r="N3" s="308"/>
      <c r="O3" s="309"/>
      <c r="P3" s="235" t="s">
        <v>34</v>
      </c>
      <c r="Q3" s="322" t="s">
        <v>35</v>
      </c>
      <c r="R3" s="308"/>
      <c r="S3" s="30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38.25" customHeight="1">
      <c r="B4" s="236" t="s">
        <v>36</v>
      </c>
      <c r="C4" s="237" t="s">
        <v>37</v>
      </c>
      <c r="D4" s="236" t="s">
        <v>38</v>
      </c>
      <c r="E4" s="236" t="s">
        <v>39</v>
      </c>
      <c r="F4" s="236" t="s">
        <v>40</v>
      </c>
      <c r="G4" s="239" t="s">
        <v>41</v>
      </c>
      <c r="H4" s="236" t="s">
        <v>42</v>
      </c>
      <c r="I4" s="236" t="s">
        <v>43</v>
      </c>
      <c r="J4" s="323" t="s">
        <v>44</v>
      </c>
      <c r="K4" s="308"/>
      <c r="L4" s="309"/>
      <c r="M4" s="240" t="s">
        <v>5</v>
      </c>
      <c r="N4" s="241" t="s">
        <v>6</v>
      </c>
      <c r="O4" s="242" t="s">
        <v>7</v>
      </c>
      <c r="P4" s="243" t="s">
        <v>5</v>
      </c>
      <c r="Q4" s="244" t="s">
        <v>9</v>
      </c>
      <c r="R4" s="245" t="s">
        <v>10</v>
      </c>
      <c r="S4" s="246" t="s">
        <v>46</v>
      </c>
    </row>
    <row r="5" spans="1:36" ht="29.25" customHeight="1">
      <c r="A5" s="21"/>
      <c r="B5" s="75">
        <v>1</v>
      </c>
      <c r="C5" s="258" t="s">
        <v>763</v>
      </c>
      <c r="D5" s="79" t="s">
        <v>764</v>
      </c>
      <c r="E5" s="259" t="s">
        <v>1016</v>
      </c>
      <c r="F5" s="149" t="s">
        <v>765</v>
      </c>
      <c r="G5" s="266" t="s">
        <v>766</v>
      </c>
      <c r="H5" s="82" t="str">
        <f t="shared" ref="H5:H25" si="0">UPPER(G5)</f>
        <v>PARTICIPAÇÃO II ENCONTRO 2019 - ENCERRAMENTO DE EXERCÍCIO</v>
      </c>
      <c r="I5" s="82" t="s">
        <v>72</v>
      </c>
      <c r="J5" s="83">
        <v>43770</v>
      </c>
      <c r="K5" s="84">
        <v>12</v>
      </c>
      <c r="L5" s="84">
        <v>12</v>
      </c>
      <c r="M5" s="274">
        <v>52.24</v>
      </c>
      <c r="N5" s="274">
        <v>68.010000000000005</v>
      </c>
      <c r="O5" s="274"/>
      <c r="P5" s="275">
        <f>69+49+49</f>
        <v>167</v>
      </c>
      <c r="Q5" s="276">
        <f>1046.03+598.57</f>
        <v>1644.6</v>
      </c>
      <c r="R5" s="277">
        <v>0</v>
      </c>
      <c r="S5" s="278">
        <f t="shared" ref="S5:S33" si="1">M5+N5+O5+P5+Q5+R5</f>
        <v>1931.85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36" ht="26.25" customHeight="1">
      <c r="A6" s="21"/>
      <c r="B6" s="86">
        <v>2</v>
      </c>
      <c r="C6" s="262" t="s">
        <v>767</v>
      </c>
      <c r="D6" s="95" t="s">
        <v>192</v>
      </c>
      <c r="E6" s="155" t="s">
        <v>908</v>
      </c>
      <c r="F6" s="102" t="s">
        <v>193</v>
      </c>
      <c r="G6" s="160" t="s">
        <v>768</v>
      </c>
      <c r="H6" s="93" t="str">
        <f t="shared" si="0"/>
        <v>PARTICIPAR REUNIÃO COM DR. ARTHUR LIMA GUEDES</v>
      </c>
      <c r="I6" s="93" t="s">
        <v>72</v>
      </c>
      <c r="J6" s="94">
        <v>43770</v>
      </c>
      <c r="K6" s="95">
        <v>7</v>
      </c>
      <c r="L6" s="95">
        <v>7</v>
      </c>
      <c r="M6" s="279">
        <v>0</v>
      </c>
      <c r="N6" s="279">
        <v>0</v>
      </c>
      <c r="O6" s="279"/>
      <c r="P6" s="280">
        <f>44.5+28+53+30</f>
        <v>155.5</v>
      </c>
      <c r="Q6" s="281">
        <v>2824.2</v>
      </c>
      <c r="R6" s="282">
        <v>0</v>
      </c>
      <c r="S6" s="283">
        <f t="shared" si="1"/>
        <v>2979.7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5.5" customHeight="1">
      <c r="A7" s="21"/>
      <c r="B7" s="86">
        <v>3</v>
      </c>
      <c r="C7" s="262" t="s">
        <v>769</v>
      </c>
      <c r="D7" s="95" t="s">
        <v>246</v>
      </c>
      <c r="E7" s="155" t="s">
        <v>920</v>
      </c>
      <c r="F7" s="95" t="s">
        <v>455</v>
      </c>
      <c r="G7" s="160" t="s">
        <v>768</v>
      </c>
      <c r="H7" s="93" t="str">
        <f t="shared" si="0"/>
        <v>PARTICIPAR REUNIÃO COM DR. ARTHUR LIMA GUEDES</v>
      </c>
      <c r="I7" s="93" t="s">
        <v>72</v>
      </c>
      <c r="J7" s="94">
        <v>43770</v>
      </c>
      <c r="K7" s="95">
        <v>7</v>
      </c>
      <c r="L7" s="95">
        <v>7</v>
      </c>
      <c r="M7" s="279">
        <v>28</v>
      </c>
      <c r="N7" s="279">
        <v>52</v>
      </c>
      <c r="O7" s="279"/>
      <c r="P7" s="280">
        <v>25</v>
      </c>
      <c r="Q7" s="281">
        <v>2824.2</v>
      </c>
      <c r="R7" s="282">
        <v>0</v>
      </c>
      <c r="S7" s="283">
        <f t="shared" si="1"/>
        <v>2929.2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 ht="24" customHeight="1">
      <c r="A8" s="21"/>
      <c r="B8" s="86">
        <v>4</v>
      </c>
      <c r="C8" s="260" t="s">
        <v>770</v>
      </c>
      <c r="D8" s="95" t="s">
        <v>771</v>
      </c>
      <c r="E8" s="155" t="s">
        <v>1017</v>
      </c>
      <c r="F8" s="95" t="s">
        <v>772</v>
      </c>
      <c r="G8" s="158" t="s">
        <v>773</v>
      </c>
      <c r="H8" s="93" t="str">
        <f t="shared" si="0"/>
        <v>PARTICIPAR DO SECOND CONFERENCE ON STATISTICS AND DATA SCIENCE - CSDS 2019</v>
      </c>
      <c r="I8" s="93" t="s">
        <v>93</v>
      </c>
      <c r="J8" s="94">
        <v>43771</v>
      </c>
      <c r="K8" s="95">
        <v>17</v>
      </c>
      <c r="L8" s="95">
        <v>20</v>
      </c>
      <c r="M8" s="279">
        <v>0</v>
      </c>
      <c r="N8" s="279">
        <v>0</v>
      </c>
      <c r="O8" s="279"/>
      <c r="P8" s="280">
        <v>0</v>
      </c>
      <c r="Q8" s="281">
        <f>1282.03+482.03</f>
        <v>1764.06</v>
      </c>
      <c r="R8" s="282">
        <v>0</v>
      </c>
      <c r="S8" s="283">
        <f t="shared" si="1"/>
        <v>1764.06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ht="17.25" customHeight="1">
      <c r="A9" s="21"/>
      <c r="B9" s="86">
        <v>5</v>
      </c>
      <c r="C9" s="263" t="s">
        <v>774</v>
      </c>
      <c r="D9" s="102" t="s">
        <v>775</v>
      </c>
      <c r="E9" s="155" t="s">
        <v>1018</v>
      </c>
      <c r="F9" s="95" t="s">
        <v>57</v>
      </c>
      <c r="G9" s="95" t="s">
        <v>776</v>
      </c>
      <c r="H9" s="93" t="str">
        <f t="shared" si="0"/>
        <v>PARTICIPAÇÃO NA REUNIÃO DO CONSELHO FISCAL</v>
      </c>
      <c r="I9" s="95" t="s">
        <v>52</v>
      </c>
      <c r="J9" s="103">
        <v>43770</v>
      </c>
      <c r="K9" s="95">
        <v>27</v>
      </c>
      <c r="L9" s="95">
        <v>29</v>
      </c>
      <c r="M9" s="279">
        <v>0</v>
      </c>
      <c r="N9" s="279">
        <v>52.35</v>
      </c>
      <c r="O9" s="279"/>
      <c r="P9" s="280">
        <v>0</v>
      </c>
      <c r="Q9" s="281">
        <v>1183.5999999999999</v>
      </c>
      <c r="R9" s="282">
        <v>495</v>
      </c>
      <c r="S9" s="283">
        <f t="shared" si="1"/>
        <v>1730.9499999999998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6" ht="12.75" customHeight="1">
      <c r="A10" s="21"/>
      <c r="B10" s="86">
        <v>6</v>
      </c>
      <c r="C10" s="263" t="s">
        <v>777</v>
      </c>
      <c r="D10" s="102" t="s">
        <v>778</v>
      </c>
      <c r="E10" s="155" t="s">
        <v>1019</v>
      </c>
      <c r="F10" s="95" t="s">
        <v>57</v>
      </c>
      <c r="G10" s="95" t="s">
        <v>776</v>
      </c>
      <c r="H10" s="93" t="str">
        <f t="shared" si="0"/>
        <v>PARTICIPAÇÃO NA REUNIÃO DO CONSELHO FISCAL</v>
      </c>
      <c r="I10" s="95" t="s">
        <v>779</v>
      </c>
      <c r="J10" s="103">
        <v>43771</v>
      </c>
      <c r="K10" s="95">
        <v>27</v>
      </c>
      <c r="L10" s="95">
        <v>28</v>
      </c>
      <c r="M10" s="279">
        <v>0</v>
      </c>
      <c r="N10" s="279">
        <v>52.35</v>
      </c>
      <c r="O10" s="279"/>
      <c r="P10" s="280">
        <v>0</v>
      </c>
      <c r="Q10" s="281">
        <v>1058.5999999999999</v>
      </c>
      <c r="R10" s="282">
        <f>247.5+5.5</f>
        <v>253</v>
      </c>
      <c r="S10" s="283">
        <f t="shared" si="1"/>
        <v>1363.9499999999998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6" ht="23.25" customHeight="1">
      <c r="A11" s="21"/>
      <c r="B11" s="86">
        <v>7</v>
      </c>
      <c r="C11" s="260" t="s">
        <v>780</v>
      </c>
      <c r="D11" s="177" t="s">
        <v>280</v>
      </c>
      <c r="E11" s="155" t="s">
        <v>929</v>
      </c>
      <c r="F11" s="102" t="s">
        <v>281</v>
      </c>
      <c r="G11" s="158" t="s">
        <v>781</v>
      </c>
      <c r="H11" s="93" t="str">
        <f t="shared" si="0"/>
        <v>MINISTRAR TREINAMENTO DO MÓDULO EXAMES LABORATÓRIO E IMAGENS.</v>
      </c>
      <c r="I11" s="93" t="s">
        <v>131</v>
      </c>
      <c r="J11" s="179" t="s">
        <v>782</v>
      </c>
      <c r="K11" s="180">
        <v>25</v>
      </c>
      <c r="L11" s="180">
        <v>5</v>
      </c>
      <c r="M11" s="279">
        <v>43</v>
      </c>
      <c r="N11" s="279">
        <v>408.03</v>
      </c>
      <c r="O11" s="279"/>
      <c r="P11" s="280">
        <v>0</v>
      </c>
      <c r="Q11" s="281">
        <v>2262.08</v>
      </c>
      <c r="R11" s="282">
        <f>1700+191.75</f>
        <v>1891.75</v>
      </c>
      <c r="S11" s="283">
        <f t="shared" si="1"/>
        <v>4604.8599999999997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6" ht="23.25" customHeight="1">
      <c r="A12" s="21"/>
      <c r="B12" s="86">
        <v>8</v>
      </c>
      <c r="C12" s="260" t="s">
        <v>783</v>
      </c>
      <c r="D12" s="177" t="s">
        <v>284</v>
      </c>
      <c r="E12" s="155" t="s">
        <v>930</v>
      </c>
      <c r="F12" s="92" t="s">
        <v>285</v>
      </c>
      <c r="G12" s="92" t="s">
        <v>784</v>
      </c>
      <c r="H12" s="93" t="str">
        <f t="shared" si="0"/>
        <v>TREINAMENTO AGHUSE - MÓDULOS EXAMES - IMAGENS</v>
      </c>
      <c r="I12" s="93" t="s">
        <v>131</v>
      </c>
      <c r="J12" s="179" t="s">
        <v>782</v>
      </c>
      <c r="K12" s="180">
        <v>25</v>
      </c>
      <c r="L12" s="180">
        <v>5</v>
      </c>
      <c r="M12" s="279">
        <v>312.55</v>
      </c>
      <c r="N12" s="279">
        <v>280.38</v>
      </c>
      <c r="O12" s="279"/>
      <c r="P12" s="280">
        <v>0</v>
      </c>
      <c r="Q12" s="281">
        <v>2397.08</v>
      </c>
      <c r="R12" s="282">
        <f>1700+178.2</f>
        <v>1878.2</v>
      </c>
      <c r="S12" s="283">
        <f t="shared" si="1"/>
        <v>4868.21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36" ht="24" customHeight="1">
      <c r="A13" s="21"/>
      <c r="B13" s="86">
        <v>9</v>
      </c>
      <c r="C13" s="195" t="s">
        <v>785</v>
      </c>
      <c r="D13" s="177" t="s">
        <v>236</v>
      </c>
      <c r="E13" s="155" t="s">
        <v>918</v>
      </c>
      <c r="F13" s="156" t="s">
        <v>479</v>
      </c>
      <c r="G13" s="92" t="s">
        <v>784</v>
      </c>
      <c r="H13" s="93" t="str">
        <f t="shared" si="0"/>
        <v>TREINAMENTO AGHUSE - MÓDULOS EXAMES - IMAGENS</v>
      </c>
      <c r="I13" s="93" t="s">
        <v>131</v>
      </c>
      <c r="J13" s="179">
        <v>43800</v>
      </c>
      <c r="K13" s="180">
        <v>9</v>
      </c>
      <c r="L13" s="180">
        <v>12</v>
      </c>
      <c r="M13" s="279">
        <v>109.91</v>
      </c>
      <c r="N13" s="279">
        <v>220.44</v>
      </c>
      <c r="O13" s="279"/>
      <c r="P13" s="280">
        <v>0</v>
      </c>
      <c r="Q13" s="281">
        <f t="shared" ref="Q13:Q14" si="2">595.13+723.85</f>
        <v>1318.98</v>
      </c>
      <c r="R13" s="282">
        <f>587.52+55</f>
        <v>642.52</v>
      </c>
      <c r="S13" s="283">
        <f t="shared" si="1"/>
        <v>2291.85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36" ht="18" customHeight="1">
      <c r="A14" s="21"/>
      <c r="B14" s="86">
        <v>10</v>
      </c>
      <c r="C14" s="262" t="s">
        <v>786</v>
      </c>
      <c r="D14" s="177" t="s">
        <v>355</v>
      </c>
      <c r="E14" s="155" t="s">
        <v>967</v>
      </c>
      <c r="F14" s="102" t="s">
        <v>356</v>
      </c>
      <c r="G14" s="100" t="s">
        <v>787</v>
      </c>
      <c r="H14" s="93" t="str">
        <f t="shared" si="0"/>
        <v>IMPLANTAÇÃO DO MÓDULO CCIH- AGH-USE</v>
      </c>
      <c r="I14" s="93" t="s">
        <v>131</v>
      </c>
      <c r="J14" s="179">
        <v>43800</v>
      </c>
      <c r="K14" s="180">
        <v>9</v>
      </c>
      <c r="L14" s="180">
        <v>12</v>
      </c>
      <c r="M14" s="279">
        <v>164.86</v>
      </c>
      <c r="N14" s="279">
        <v>181.94</v>
      </c>
      <c r="O14" s="279"/>
      <c r="P14" s="280">
        <v>0</v>
      </c>
      <c r="Q14" s="281">
        <f t="shared" si="2"/>
        <v>1318.98</v>
      </c>
      <c r="R14" s="282">
        <f>587.52+11</f>
        <v>598.52</v>
      </c>
      <c r="S14" s="283">
        <f t="shared" si="1"/>
        <v>2264.3000000000002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18" customHeight="1">
      <c r="A15" s="21"/>
      <c r="B15" s="86">
        <v>11</v>
      </c>
      <c r="C15" s="263" t="s">
        <v>788</v>
      </c>
      <c r="D15" s="158" t="s">
        <v>56</v>
      </c>
      <c r="E15" s="155" t="s">
        <v>905</v>
      </c>
      <c r="F15" s="95" t="s">
        <v>57</v>
      </c>
      <c r="G15" s="95" t="s">
        <v>776</v>
      </c>
      <c r="H15" s="93" t="str">
        <f t="shared" si="0"/>
        <v>PARTICIPAÇÃO NA REUNIÃO DO CONSELHO FISCAL</v>
      </c>
      <c r="I15" s="95" t="s">
        <v>52</v>
      </c>
      <c r="J15" s="103">
        <v>43770</v>
      </c>
      <c r="K15" s="95">
        <v>27</v>
      </c>
      <c r="L15" s="95">
        <v>29</v>
      </c>
      <c r="M15" s="279">
        <v>14.27</v>
      </c>
      <c r="N15" s="279">
        <v>0</v>
      </c>
      <c r="O15" s="279"/>
      <c r="P15" s="280">
        <v>0</v>
      </c>
      <c r="Q15" s="281">
        <f>646.57+761.03</f>
        <v>1407.6</v>
      </c>
      <c r="R15" s="282">
        <f>247.5+5.5</f>
        <v>253</v>
      </c>
      <c r="S15" s="283">
        <f t="shared" si="1"/>
        <v>1674.87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ht="26.25" customHeight="1">
      <c r="A16" s="21"/>
      <c r="B16" s="86">
        <v>12</v>
      </c>
      <c r="C16" s="260" t="s">
        <v>789</v>
      </c>
      <c r="D16" s="95" t="s">
        <v>790</v>
      </c>
      <c r="E16" s="155" t="s">
        <v>1020</v>
      </c>
      <c r="F16" s="95" t="s">
        <v>791</v>
      </c>
      <c r="G16" s="102" t="s">
        <v>792</v>
      </c>
      <c r="H16" s="93" t="str">
        <f t="shared" si="0"/>
        <v>CAPACITAÇÃO NA PLATAFORMA MAIS BRASIL - SISTEMA DE CAPTAÇÃO DE RECURSOS DA UNIÃO</v>
      </c>
      <c r="I16" s="93" t="s">
        <v>72</v>
      </c>
      <c r="J16" s="179">
        <v>43800</v>
      </c>
      <c r="K16" s="180">
        <v>15</v>
      </c>
      <c r="L16" s="180">
        <v>20</v>
      </c>
      <c r="M16" s="279"/>
      <c r="N16" s="279"/>
      <c r="O16" s="279"/>
      <c r="P16" s="280">
        <f>35.34+55.12+13+40.62+39.24</f>
        <v>183.32000000000002</v>
      </c>
      <c r="Q16" s="281">
        <v>1842.6</v>
      </c>
      <c r="R16" s="282">
        <f>1489.4+196.9</f>
        <v>1686.3000000000002</v>
      </c>
      <c r="S16" s="283">
        <f t="shared" si="1"/>
        <v>3712.2200000000003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1:36" ht="58.5" customHeight="1">
      <c r="A17" s="21"/>
      <c r="B17" s="86">
        <v>13</v>
      </c>
      <c r="C17" s="260" t="s">
        <v>793</v>
      </c>
      <c r="D17" s="177" t="s">
        <v>693</v>
      </c>
      <c r="E17" s="155" t="s">
        <v>1008</v>
      </c>
      <c r="F17" s="151" t="s">
        <v>794</v>
      </c>
      <c r="G17" s="158" t="s">
        <v>795</v>
      </c>
      <c r="H17" s="93" t="str">
        <f t="shared" si="0"/>
        <v>REPRESENTAR A PROFA NADINE CLAUSELL E O HCPA EM ATIVIDADE NO EVENTO V CONGRESSO DA ASSOCIAÇÃO BRASILEIRA DE HOSPITAIS UNIVERSITÁRIOS E DE ENSINO - ABRAHUE, EM SALVADOR/BA</v>
      </c>
      <c r="I17" s="93" t="s">
        <v>93</v>
      </c>
      <c r="J17" s="179">
        <v>43800</v>
      </c>
      <c r="K17" s="180">
        <v>2</v>
      </c>
      <c r="L17" s="180">
        <v>4</v>
      </c>
      <c r="M17" s="279">
        <v>0</v>
      </c>
      <c r="N17" s="279">
        <v>22</v>
      </c>
      <c r="O17" s="279"/>
      <c r="P17" s="295">
        <v>0</v>
      </c>
      <c r="Q17" s="281">
        <f>858.03+967.03</f>
        <v>1825.06</v>
      </c>
      <c r="R17" s="282">
        <v>630</v>
      </c>
      <c r="S17" s="283">
        <f t="shared" si="1"/>
        <v>2477.06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</row>
    <row r="18" spans="1:36" ht="27" customHeight="1">
      <c r="A18" s="21"/>
      <c r="B18" s="86">
        <v>14</v>
      </c>
      <c r="C18" s="260" t="s">
        <v>796</v>
      </c>
      <c r="D18" s="177" t="s">
        <v>797</v>
      </c>
      <c r="E18" s="155" t="s">
        <v>1021</v>
      </c>
      <c r="F18" s="156" t="s">
        <v>798</v>
      </c>
      <c r="G18" s="102" t="s">
        <v>799</v>
      </c>
      <c r="H18" s="93" t="str">
        <f t="shared" si="0"/>
        <v>ACOMPANHAMENTO DE IMPLANTAÇÃO DOS MÓDULOS COMPRAS E ESTOQUE</v>
      </c>
      <c r="I18" s="93" t="s">
        <v>72</v>
      </c>
      <c r="J18" s="103">
        <v>43770</v>
      </c>
      <c r="K18" s="95">
        <v>18</v>
      </c>
      <c r="L18" s="95">
        <v>22</v>
      </c>
      <c r="M18" s="279">
        <v>98.29</v>
      </c>
      <c r="N18" s="279">
        <v>412.71</v>
      </c>
      <c r="O18" s="279"/>
      <c r="P18" s="295">
        <v>0</v>
      </c>
      <c r="Q18" s="281">
        <f t="shared" ref="Q18:Q19" si="3">2022.03+1062.57</f>
        <v>3084.6</v>
      </c>
      <c r="R18" s="282">
        <f>1191.4+213.84</f>
        <v>1405.24</v>
      </c>
      <c r="S18" s="283">
        <f t="shared" si="1"/>
        <v>5000.84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</row>
    <row r="19" spans="1:36" ht="17.25" customHeight="1">
      <c r="A19" s="21"/>
      <c r="B19" s="86">
        <v>15</v>
      </c>
      <c r="C19" s="260" t="s">
        <v>800</v>
      </c>
      <c r="D19" s="177" t="s">
        <v>268</v>
      </c>
      <c r="E19" s="155" t="s">
        <v>925</v>
      </c>
      <c r="F19" s="156" t="s">
        <v>801</v>
      </c>
      <c r="G19" s="102" t="s">
        <v>802</v>
      </c>
      <c r="H19" s="93" t="str">
        <f t="shared" si="0"/>
        <v>IMPLANTAÇÃO DO MÓDULO DE ESTOQUE</v>
      </c>
      <c r="I19" s="93" t="s">
        <v>72</v>
      </c>
      <c r="J19" s="103">
        <v>43770</v>
      </c>
      <c r="K19" s="95">
        <v>18</v>
      </c>
      <c r="L19" s="95">
        <v>22</v>
      </c>
      <c r="M19" s="279">
        <v>187.29</v>
      </c>
      <c r="N19" s="279">
        <v>378.97</v>
      </c>
      <c r="O19" s="279"/>
      <c r="P19" s="295">
        <v>0</v>
      </c>
      <c r="Q19" s="281">
        <f t="shared" si="3"/>
        <v>3084.6</v>
      </c>
      <c r="R19" s="282">
        <f>1191.4+282.4</f>
        <v>1473.8000000000002</v>
      </c>
      <c r="S19" s="283">
        <f t="shared" si="1"/>
        <v>5124.66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1:36" ht="16.5" customHeight="1">
      <c r="A20" s="21"/>
      <c r="B20" s="86">
        <v>16</v>
      </c>
      <c r="C20" s="260" t="s">
        <v>803</v>
      </c>
      <c r="D20" s="177" t="s">
        <v>209</v>
      </c>
      <c r="E20" s="155" t="s">
        <v>912</v>
      </c>
      <c r="F20" s="156" t="s">
        <v>210</v>
      </c>
      <c r="G20" s="102" t="s">
        <v>804</v>
      </c>
      <c r="H20" s="93" t="str">
        <f t="shared" si="0"/>
        <v>IMPLANTAÇÃO COMPRAS E ESTOQUE NO HMAB</v>
      </c>
      <c r="I20" s="93" t="s">
        <v>72</v>
      </c>
      <c r="J20" s="103">
        <v>43770</v>
      </c>
      <c r="K20" s="95">
        <v>18</v>
      </c>
      <c r="L20" s="95">
        <v>20</v>
      </c>
      <c r="M20" s="279">
        <v>75.14</v>
      </c>
      <c r="N20" s="279">
        <v>205.57</v>
      </c>
      <c r="O20" s="279"/>
      <c r="P20" s="295">
        <v>0</v>
      </c>
      <c r="Q20" s="281">
        <f>2022.03+1507.57</f>
        <v>3529.6</v>
      </c>
      <c r="R20" s="282">
        <f>595.7+247.83</f>
        <v>843.53000000000009</v>
      </c>
      <c r="S20" s="283">
        <f t="shared" si="1"/>
        <v>4653.84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</row>
    <row r="21" spans="1:36" ht="12.75" customHeight="1">
      <c r="A21" s="21"/>
      <c r="B21" s="86">
        <v>17</v>
      </c>
      <c r="C21" s="267" t="s">
        <v>805</v>
      </c>
      <c r="D21" s="95" t="s">
        <v>806</v>
      </c>
      <c r="E21" s="155" t="s">
        <v>1022</v>
      </c>
      <c r="F21" s="95" t="s">
        <v>587</v>
      </c>
      <c r="G21" s="93" t="s">
        <v>588</v>
      </c>
      <c r="H21" s="93" t="str">
        <f t="shared" si="0"/>
        <v>REUNIÃO DO CONSELHO DA ADMINISTRAÇÃO</v>
      </c>
      <c r="I21" s="93" t="s">
        <v>52</v>
      </c>
      <c r="J21" s="103">
        <v>43770</v>
      </c>
      <c r="K21" s="95">
        <v>25</v>
      </c>
      <c r="L21" s="95">
        <v>25</v>
      </c>
      <c r="M21" s="279">
        <v>0</v>
      </c>
      <c r="N21" s="279">
        <v>0</v>
      </c>
      <c r="O21" s="279"/>
      <c r="P21" s="295">
        <v>0</v>
      </c>
      <c r="Q21" s="281">
        <v>1807.6</v>
      </c>
      <c r="R21" s="282">
        <v>0</v>
      </c>
      <c r="S21" s="283">
        <f t="shared" si="1"/>
        <v>1807.6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1:36" ht="24.75" customHeight="1">
      <c r="A22" s="21"/>
      <c r="B22" s="86">
        <v>18</v>
      </c>
      <c r="C22" s="260" t="s">
        <v>807</v>
      </c>
      <c r="D22" s="177" t="s">
        <v>808</v>
      </c>
      <c r="E22" s="155" t="s">
        <v>919</v>
      </c>
      <c r="F22" s="151" t="s">
        <v>243</v>
      </c>
      <c r="G22" s="93" t="s">
        <v>809</v>
      </c>
      <c r="H22" s="93" t="str">
        <f t="shared" si="0"/>
        <v>PARTICIPAÇÃO 2º SEMINÁRIO INTERNACIONAL DE PREVIDÊNCIA COMPLEMENTAR</v>
      </c>
      <c r="I22" s="95" t="s">
        <v>52</v>
      </c>
      <c r="J22" s="103">
        <v>43770</v>
      </c>
      <c r="K22" s="95">
        <v>21</v>
      </c>
      <c r="L22" s="95">
        <v>22</v>
      </c>
      <c r="M22" s="279">
        <v>180.83</v>
      </c>
      <c r="N22" s="279">
        <v>0</v>
      </c>
      <c r="O22" s="279"/>
      <c r="P22" s="295">
        <v>0</v>
      </c>
      <c r="Q22" s="281">
        <f>1146.03+997.57</f>
        <v>2143.6</v>
      </c>
      <c r="R22" s="282">
        <f>312.8+100.1</f>
        <v>412.9</v>
      </c>
      <c r="S22" s="283">
        <f t="shared" si="1"/>
        <v>2737.33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1:36" ht="36.75" customHeight="1">
      <c r="A23" s="21"/>
      <c r="B23" s="86">
        <v>19</v>
      </c>
      <c r="C23" s="260" t="s">
        <v>810</v>
      </c>
      <c r="D23" s="177" t="s">
        <v>811</v>
      </c>
      <c r="E23" s="155" t="s">
        <v>1023</v>
      </c>
      <c r="F23" s="151" t="s">
        <v>112</v>
      </c>
      <c r="G23" s="268" t="s">
        <v>812</v>
      </c>
      <c r="H23" s="93" t="str">
        <f t="shared" si="0"/>
        <v>PARTICIPAÇÃO NA REUNIÃO DO SISTEMA DE OUVIDORIA DO PODER EXECUTIVO FEDERAL PROMOVIDA PELA CGU.</v>
      </c>
      <c r="I23" s="93" t="s">
        <v>72</v>
      </c>
      <c r="J23" s="179">
        <v>43800</v>
      </c>
      <c r="K23" s="180">
        <v>4</v>
      </c>
      <c r="L23" s="180">
        <v>5</v>
      </c>
      <c r="M23" s="279">
        <v>0</v>
      </c>
      <c r="N23" s="279">
        <v>0</v>
      </c>
      <c r="O23" s="279"/>
      <c r="P23" s="295">
        <v>0</v>
      </c>
      <c r="Q23" s="281">
        <f>761.03+646.57</f>
        <v>1407.6</v>
      </c>
      <c r="R23" s="282">
        <v>389.55</v>
      </c>
      <c r="S23" s="283">
        <f t="shared" si="1"/>
        <v>1797.1499999999999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 ht="20.25" customHeight="1">
      <c r="A24" s="21"/>
      <c r="B24" s="86">
        <v>20</v>
      </c>
      <c r="C24" s="267" t="s">
        <v>813</v>
      </c>
      <c r="D24" s="95" t="s">
        <v>445</v>
      </c>
      <c r="E24" s="155" t="s">
        <v>969</v>
      </c>
      <c r="F24" s="95" t="s">
        <v>587</v>
      </c>
      <c r="G24" s="93" t="s">
        <v>588</v>
      </c>
      <c r="H24" s="93" t="str">
        <f t="shared" si="0"/>
        <v>REUNIÃO DO CONSELHO DA ADMINISTRAÇÃO</v>
      </c>
      <c r="I24" s="93" t="s">
        <v>52</v>
      </c>
      <c r="J24" s="103">
        <v>43770</v>
      </c>
      <c r="K24" s="95">
        <v>25</v>
      </c>
      <c r="L24" s="95">
        <v>25</v>
      </c>
      <c r="M24" s="279">
        <v>0</v>
      </c>
      <c r="N24" s="279">
        <v>0</v>
      </c>
      <c r="O24" s="279"/>
      <c r="P24" s="295">
        <v>0</v>
      </c>
      <c r="Q24" s="281">
        <f>997.57+1293.03+1241.03</f>
        <v>3531.63</v>
      </c>
      <c r="R24" s="282">
        <v>0</v>
      </c>
      <c r="S24" s="283">
        <f t="shared" si="1"/>
        <v>3531.63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 ht="36.75" customHeight="1">
      <c r="A25" s="21"/>
      <c r="B25" s="86">
        <v>21</v>
      </c>
      <c r="C25" s="260" t="s">
        <v>814</v>
      </c>
      <c r="D25" s="177" t="s">
        <v>815</v>
      </c>
      <c r="E25" s="155" t="s">
        <v>1024</v>
      </c>
      <c r="F25" s="151" t="s">
        <v>816</v>
      </c>
      <c r="G25" s="158" t="s">
        <v>817</v>
      </c>
      <c r="H25" s="93" t="str">
        <f t="shared" si="0"/>
        <v>PARTICIPAR DE SEMINÁRIO INTERNACIONAL PREVIDÊNCIA COMPLEMENTAR PROMOVIDO PELA SECRETARIA DE PREVIDÊNCIA DO GOVERNO FEDERAL</v>
      </c>
      <c r="I25" s="95" t="s">
        <v>190</v>
      </c>
      <c r="J25" s="103">
        <v>43770</v>
      </c>
      <c r="K25" s="95">
        <v>21</v>
      </c>
      <c r="L25" s="95">
        <v>22</v>
      </c>
      <c r="M25" s="279">
        <v>16.53</v>
      </c>
      <c r="N25" s="279">
        <v>0</v>
      </c>
      <c r="O25" s="279"/>
      <c r="P25" s="295">
        <v>0</v>
      </c>
      <c r="Q25" s="281">
        <f>1146.03+1291.57</f>
        <v>2437.6</v>
      </c>
      <c r="R25" s="282">
        <f>312.8+28.6</f>
        <v>341.40000000000003</v>
      </c>
      <c r="S25" s="283">
        <f t="shared" si="1"/>
        <v>2795.53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 ht="24.75" customHeight="1">
      <c r="A26" s="21"/>
      <c r="B26" s="86">
        <v>22</v>
      </c>
      <c r="C26" s="260" t="s">
        <v>818</v>
      </c>
      <c r="D26" s="177" t="s">
        <v>819</v>
      </c>
      <c r="E26" s="155" t="s">
        <v>1025</v>
      </c>
      <c r="F26" s="102" t="s">
        <v>820</v>
      </c>
      <c r="G26" s="176"/>
      <c r="H26" s="269" t="s">
        <v>821</v>
      </c>
      <c r="I26" s="93" t="s">
        <v>822</v>
      </c>
      <c r="J26" s="103">
        <v>43770</v>
      </c>
      <c r="K26" s="95">
        <v>25</v>
      </c>
      <c r="L26" s="95">
        <v>28</v>
      </c>
      <c r="M26" s="279">
        <v>0</v>
      </c>
      <c r="N26" s="279">
        <v>0</v>
      </c>
      <c r="O26" s="279"/>
      <c r="P26" s="295">
        <v>0</v>
      </c>
      <c r="Q26" s="281">
        <v>1723.88</v>
      </c>
      <c r="R26" s="282">
        <f>804+30.2</f>
        <v>834.2</v>
      </c>
      <c r="S26" s="283">
        <f t="shared" si="1"/>
        <v>2558.08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 ht="27.75" customHeight="1">
      <c r="A27" s="21"/>
      <c r="B27" s="86">
        <v>23</v>
      </c>
      <c r="C27" s="260" t="s">
        <v>823</v>
      </c>
      <c r="D27" s="177" t="s">
        <v>824</v>
      </c>
      <c r="E27" s="155" t="s">
        <v>1026</v>
      </c>
      <c r="F27" s="102" t="s">
        <v>820</v>
      </c>
      <c r="G27" s="176"/>
      <c r="H27" s="93" t="s">
        <v>821</v>
      </c>
      <c r="I27" s="93" t="s">
        <v>822</v>
      </c>
      <c r="J27" s="103">
        <v>43770</v>
      </c>
      <c r="K27" s="95">
        <v>25</v>
      </c>
      <c r="L27" s="95">
        <v>28</v>
      </c>
      <c r="M27" s="279">
        <v>0</v>
      </c>
      <c r="N27" s="279">
        <v>0</v>
      </c>
      <c r="O27" s="279"/>
      <c r="P27" s="295">
        <v>0</v>
      </c>
      <c r="Q27" s="281">
        <f>1096.03+1028.85</f>
        <v>2124.88</v>
      </c>
      <c r="R27" s="282">
        <v>804</v>
      </c>
      <c r="S27" s="283">
        <f t="shared" si="1"/>
        <v>2928.88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 ht="15" customHeight="1">
      <c r="A28" s="21"/>
      <c r="B28" s="86">
        <v>24</v>
      </c>
      <c r="C28" s="260" t="s">
        <v>825</v>
      </c>
      <c r="D28" s="177" t="s">
        <v>826</v>
      </c>
      <c r="E28" s="155" t="s">
        <v>1027</v>
      </c>
      <c r="F28" s="102" t="s">
        <v>827</v>
      </c>
      <c r="G28" s="102" t="s">
        <v>828</v>
      </c>
      <c r="H28" s="93" t="str">
        <f t="shared" ref="H28:H33" si="4">UPPER(G28)</f>
        <v>PARTICIPAÇÃO NO CONGRESSO ESAÚDE &amp; PEP 2019</v>
      </c>
      <c r="I28" s="93" t="s">
        <v>316</v>
      </c>
      <c r="J28" s="179">
        <v>43800</v>
      </c>
      <c r="K28" s="180">
        <v>2</v>
      </c>
      <c r="L28" s="180">
        <v>4</v>
      </c>
      <c r="M28" s="279">
        <v>0</v>
      </c>
      <c r="N28" s="279">
        <v>0</v>
      </c>
      <c r="O28" s="279"/>
      <c r="P28" s="295">
        <v>0</v>
      </c>
      <c r="Q28" s="281">
        <v>2142.88</v>
      </c>
      <c r="R28" s="282">
        <f>623.7+6.5</f>
        <v>630.20000000000005</v>
      </c>
      <c r="S28" s="283">
        <f t="shared" si="1"/>
        <v>2773.08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1:36" ht="15.75" customHeight="1">
      <c r="A29" s="21"/>
      <c r="B29" s="86">
        <v>25</v>
      </c>
      <c r="C29" s="260" t="s">
        <v>829</v>
      </c>
      <c r="D29" s="177" t="s">
        <v>830</v>
      </c>
      <c r="E29" s="155" t="s">
        <v>1028</v>
      </c>
      <c r="F29" s="102" t="s">
        <v>831</v>
      </c>
      <c r="G29" s="102" t="s">
        <v>832</v>
      </c>
      <c r="H29" s="93" t="str">
        <f t="shared" si="4"/>
        <v>PARTICIPAÇÃO NO CONGRESSO ESAÚDE &amp; PEP 2019</v>
      </c>
      <c r="I29" s="93" t="s">
        <v>316</v>
      </c>
      <c r="J29" s="179">
        <v>43800</v>
      </c>
      <c r="K29" s="180">
        <v>2</v>
      </c>
      <c r="L29" s="180">
        <v>4</v>
      </c>
      <c r="M29" s="279">
        <v>0</v>
      </c>
      <c r="N29" s="279">
        <v>0</v>
      </c>
      <c r="O29" s="279"/>
      <c r="P29" s="295">
        <v>0</v>
      </c>
      <c r="Q29" s="281">
        <v>2142.88</v>
      </c>
      <c r="R29" s="282">
        <v>623.70000000000005</v>
      </c>
      <c r="S29" s="283">
        <f t="shared" si="1"/>
        <v>2766.58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 ht="63" customHeight="1">
      <c r="A30" s="21"/>
      <c r="B30" s="86">
        <v>26</v>
      </c>
      <c r="C30" s="260" t="s">
        <v>833</v>
      </c>
      <c r="D30" s="177" t="s">
        <v>834</v>
      </c>
      <c r="E30" s="155" t="s">
        <v>1029</v>
      </c>
      <c r="F30" s="102" t="s">
        <v>835</v>
      </c>
      <c r="G30" s="158" t="s">
        <v>836</v>
      </c>
      <c r="H30" s="93" t="str">
        <f t="shared" si="4"/>
        <v>ACOMPANHAMENTO DA PACIENTE LUIZA BORTOLINI FRARON (P:15927429) EM VIAGEM DE RETORNO AO HOSPITAL DE CLÍNICAS DE PORTO ALEGRE, APÓS INTERNAÇÃO PARA IMPLANTE DE HEARTMATE II NO HOSPITAL SÍRIO LIBANÊS EM SÃO PAULO/SP.</v>
      </c>
      <c r="I30" s="93" t="s">
        <v>316</v>
      </c>
      <c r="J30" s="103">
        <v>43770</v>
      </c>
      <c r="K30" s="95">
        <v>20</v>
      </c>
      <c r="L30" s="95">
        <v>21</v>
      </c>
      <c r="M30" s="279">
        <v>102.81</v>
      </c>
      <c r="N30" s="279">
        <v>0</v>
      </c>
      <c r="O30" s="279"/>
      <c r="P30" s="295">
        <v>0</v>
      </c>
      <c r="Q30" s="281">
        <v>0</v>
      </c>
      <c r="R30" s="282">
        <v>0</v>
      </c>
      <c r="S30" s="283">
        <f t="shared" si="1"/>
        <v>102.81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1:36" ht="13.5" customHeight="1">
      <c r="A31" s="21"/>
      <c r="B31" s="86">
        <v>27</v>
      </c>
      <c r="C31" s="263" t="s">
        <v>837</v>
      </c>
      <c r="D31" s="177" t="s">
        <v>386</v>
      </c>
      <c r="E31" s="155" t="s">
        <v>1030</v>
      </c>
      <c r="F31" s="102" t="s">
        <v>387</v>
      </c>
      <c r="G31" s="93" t="s">
        <v>838</v>
      </c>
      <c r="H31" s="93" t="str">
        <f t="shared" si="4"/>
        <v>TRANSPORTE DE PACIENTE PRICA PARA IJUÍ</v>
      </c>
      <c r="I31" s="93" t="s">
        <v>839</v>
      </c>
      <c r="J31" s="103">
        <v>43770</v>
      </c>
      <c r="K31" s="95">
        <v>26</v>
      </c>
      <c r="L31" s="95">
        <v>26</v>
      </c>
      <c r="M31" s="279">
        <v>0</v>
      </c>
      <c r="N31" s="279">
        <v>0</v>
      </c>
      <c r="O31" s="279"/>
      <c r="P31" s="280">
        <v>136.5</v>
      </c>
      <c r="Q31" s="281">
        <v>0</v>
      </c>
      <c r="R31" s="282">
        <v>0</v>
      </c>
      <c r="S31" s="283">
        <f t="shared" si="1"/>
        <v>136.5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ht="12.75" customHeight="1">
      <c r="A32" s="21"/>
      <c r="B32" s="270">
        <v>28</v>
      </c>
      <c r="C32" s="271"/>
      <c r="D32" s="177" t="s">
        <v>840</v>
      </c>
      <c r="E32" s="155" t="s">
        <v>1031</v>
      </c>
      <c r="F32" s="102" t="s">
        <v>841</v>
      </c>
      <c r="G32" s="93" t="s">
        <v>838</v>
      </c>
      <c r="H32" s="93" t="str">
        <f t="shared" si="4"/>
        <v>TRANSPORTE DE PACIENTE PRICA PARA IJUÍ</v>
      </c>
      <c r="I32" s="93" t="s">
        <v>839</v>
      </c>
      <c r="J32" s="103">
        <v>43771</v>
      </c>
      <c r="K32" s="95">
        <v>26</v>
      </c>
      <c r="L32" s="95">
        <v>26</v>
      </c>
      <c r="M32" s="279">
        <v>0</v>
      </c>
      <c r="N32" s="279">
        <v>0</v>
      </c>
      <c r="O32" s="293"/>
      <c r="P32" s="280">
        <v>50</v>
      </c>
      <c r="Q32" s="301">
        <v>0</v>
      </c>
      <c r="R32" s="302">
        <v>0</v>
      </c>
      <c r="S32" s="303">
        <f t="shared" si="1"/>
        <v>50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1:36" ht="12.75" customHeight="1">
      <c r="A33" s="21"/>
      <c r="B33" s="106"/>
      <c r="C33" s="210"/>
      <c r="D33" s="108"/>
      <c r="E33" s="108"/>
      <c r="F33" s="108"/>
      <c r="G33" s="108"/>
      <c r="H33" s="108" t="str">
        <f t="shared" si="4"/>
        <v/>
      </c>
      <c r="I33" s="113"/>
      <c r="J33" s="114"/>
      <c r="K33" s="115"/>
      <c r="L33" s="115"/>
      <c r="M33" s="284"/>
      <c r="N33" s="284"/>
      <c r="O33" s="284"/>
      <c r="P33" s="304"/>
      <c r="Q33" s="286"/>
      <c r="R33" s="287"/>
      <c r="S33" s="288">
        <f t="shared" si="1"/>
        <v>0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 ht="24.75" customHeight="1">
      <c r="A34" s="41"/>
      <c r="B34" s="41"/>
      <c r="C34" s="41"/>
      <c r="D34" s="41"/>
      <c r="E34" s="41"/>
      <c r="F34" s="41"/>
      <c r="G34" s="41"/>
      <c r="H34" s="41"/>
      <c r="I34" s="125"/>
      <c r="J34" s="41"/>
      <c r="K34" s="34"/>
      <c r="L34" s="41"/>
      <c r="M34" s="170">
        <f t="shared" ref="M34:R34" si="5">SUM(M5:M33)</f>
        <v>1385.7199999999998</v>
      </c>
      <c r="N34" s="170">
        <f t="shared" si="5"/>
        <v>2334.7500000000005</v>
      </c>
      <c r="O34" s="170">
        <f t="shared" si="5"/>
        <v>0</v>
      </c>
      <c r="P34" s="192">
        <f t="shared" si="5"/>
        <v>717.32</v>
      </c>
      <c r="Q34" s="232">
        <f t="shared" si="5"/>
        <v>52832.989999999976</v>
      </c>
      <c r="R34" s="233">
        <f t="shared" si="5"/>
        <v>16086.810000000003</v>
      </c>
      <c r="S34" s="234">
        <f>SUM(S5:S33)+P35</f>
        <v>73364.763200000001</v>
      </c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</row>
    <row r="35" spans="1:36" ht="24.75" customHeight="1">
      <c r="A35" s="47"/>
      <c r="B35" s="47"/>
      <c r="C35" s="47"/>
      <c r="D35" s="310"/>
      <c r="E35" s="306"/>
      <c r="F35" s="306"/>
      <c r="G35" s="306"/>
      <c r="H35" s="306"/>
      <c r="I35" s="306"/>
      <c r="J35" s="306"/>
      <c r="K35" s="306"/>
      <c r="L35" s="47"/>
      <c r="M35" s="48"/>
      <c r="N35" s="48"/>
      <c r="O35" s="130" t="s">
        <v>94</v>
      </c>
      <c r="P35" s="22">
        <f>P34*1%</f>
        <v>7.1732000000000005</v>
      </c>
      <c r="Q35" s="47"/>
      <c r="R35" s="47"/>
      <c r="S35" s="52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</row>
    <row r="36" spans="1:36" ht="24.75" customHeight="1">
      <c r="A36" s="47"/>
      <c r="B36" s="47"/>
      <c r="C36" s="47"/>
      <c r="D36" s="123" t="s">
        <v>95</v>
      </c>
      <c r="E36" s="124"/>
      <c r="F36" s="124"/>
      <c r="G36" s="124"/>
      <c r="H36" s="124"/>
      <c r="I36" s="50"/>
      <c r="J36" s="47"/>
      <c r="K36" s="47"/>
      <c r="L36" s="47"/>
      <c r="M36" s="48"/>
      <c r="N36" s="48"/>
      <c r="O36" s="48"/>
      <c r="P36" s="131">
        <f>P34+P35</f>
        <v>724.4932</v>
      </c>
      <c r="Q36" s="51"/>
      <c r="R36" s="52"/>
      <c r="S36" s="132" t="s">
        <v>96</v>
      </c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</row>
    <row r="37" spans="1:36" ht="24.75" customHeight="1">
      <c r="A37" s="47"/>
      <c r="B37" s="47"/>
      <c r="C37" s="47"/>
      <c r="D37" s="311"/>
      <c r="E37" s="306"/>
      <c r="F37" s="306"/>
      <c r="G37" s="306"/>
      <c r="H37" s="306"/>
      <c r="I37" s="306"/>
      <c r="J37" s="306"/>
      <c r="K37" s="306"/>
      <c r="L37" s="47"/>
      <c r="M37" s="48"/>
      <c r="N37" s="48"/>
      <c r="O37" s="48"/>
      <c r="P37" s="22"/>
      <c r="Q37" s="4" t="s">
        <v>26</v>
      </c>
      <c r="R37" s="133">
        <f>M34+N34+O34+P36+Q34+R34</f>
        <v>73364.763199999972</v>
      </c>
      <c r="S37" s="56">
        <f>S34-R37</f>
        <v>0</v>
      </c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</row>
    <row r="38" spans="1:36" ht="24.75" customHeight="1">
      <c r="C38" s="1"/>
      <c r="D38" s="1"/>
      <c r="E38" s="1"/>
      <c r="F38" s="1"/>
      <c r="G38" s="1"/>
      <c r="H38" s="1"/>
      <c r="I38" s="2"/>
      <c r="J38" s="63"/>
      <c r="K38" s="63"/>
      <c r="L38" s="63"/>
      <c r="M38" s="3"/>
      <c r="N38" s="3"/>
      <c r="O38" s="130" t="s">
        <v>94</v>
      </c>
      <c r="P38" s="22" t="s">
        <v>97</v>
      </c>
      <c r="Q38" s="4"/>
      <c r="R38" s="5"/>
      <c r="S38" s="5"/>
    </row>
    <row r="39" spans="1:36" ht="24.75" customHeight="1">
      <c r="C39" s="1"/>
      <c r="D39" s="1"/>
      <c r="E39" s="1"/>
      <c r="F39" s="1"/>
      <c r="G39" s="1"/>
      <c r="H39" s="1"/>
      <c r="I39" s="2"/>
      <c r="J39" s="63"/>
      <c r="K39" s="63"/>
      <c r="L39" s="63"/>
      <c r="M39" s="3"/>
      <c r="N39" s="3"/>
      <c r="O39" s="3"/>
      <c r="P39" s="22"/>
      <c r="Q39" s="4"/>
      <c r="R39" s="5"/>
      <c r="S39" s="5"/>
    </row>
    <row r="40" spans="1:36" ht="24.75" customHeight="1">
      <c r="C40" s="1"/>
      <c r="D40" s="1"/>
      <c r="E40" s="1"/>
      <c r="F40" s="1"/>
      <c r="G40" s="1"/>
      <c r="H40" s="1"/>
      <c r="I40" s="2"/>
      <c r="J40" s="63"/>
      <c r="K40" s="63"/>
      <c r="L40" s="63"/>
      <c r="M40" s="3"/>
      <c r="N40" s="3"/>
      <c r="O40" s="3"/>
      <c r="P40" s="22"/>
      <c r="Q40" s="4"/>
      <c r="R40" s="5"/>
      <c r="S40" s="5"/>
    </row>
    <row r="41" spans="1:36" ht="24.75" customHeight="1">
      <c r="C41" s="1"/>
      <c r="D41" s="1"/>
      <c r="E41" s="1"/>
      <c r="F41" s="1"/>
      <c r="G41" s="1"/>
      <c r="H41" s="1"/>
      <c r="I41" s="2"/>
      <c r="J41" s="63"/>
      <c r="K41" s="63"/>
      <c r="L41" s="63"/>
      <c r="M41" s="3"/>
      <c r="N41" s="3"/>
      <c r="O41" s="3"/>
      <c r="P41" s="22"/>
      <c r="Q41" s="4"/>
      <c r="R41" s="5"/>
      <c r="S41" s="5"/>
    </row>
    <row r="42" spans="1:36" ht="24.75" customHeight="1">
      <c r="C42" s="1"/>
      <c r="D42" s="1"/>
      <c r="E42" s="1"/>
      <c r="F42" s="1"/>
      <c r="G42" s="1"/>
      <c r="H42" s="1"/>
      <c r="I42" s="2"/>
      <c r="J42" s="63"/>
      <c r="K42" s="63"/>
      <c r="L42" s="63"/>
      <c r="M42" s="3"/>
      <c r="N42" s="3"/>
      <c r="O42" s="3"/>
      <c r="P42" s="22"/>
      <c r="Q42" s="4"/>
      <c r="R42" s="5"/>
      <c r="S42" s="5"/>
    </row>
    <row r="43" spans="1:36" ht="24.75" customHeight="1">
      <c r="C43" s="1"/>
      <c r="D43" s="1"/>
      <c r="E43" s="1"/>
      <c r="F43" s="1"/>
      <c r="G43" s="1"/>
      <c r="H43" s="1"/>
      <c r="I43" s="2"/>
      <c r="J43" s="63"/>
      <c r="K43" s="63"/>
      <c r="L43" s="63"/>
      <c r="M43" s="3"/>
      <c r="N43" s="3"/>
      <c r="O43" s="3"/>
      <c r="P43" s="22"/>
      <c r="Q43" s="4"/>
      <c r="R43" s="5"/>
      <c r="S43" s="5"/>
    </row>
    <row r="44" spans="1:36" ht="24.75" customHeight="1">
      <c r="C44" s="1"/>
      <c r="D44" s="1"/>
      <c r="E44" s="1"/>
      <c r="F44" s="1"/>
      <c r="G44" s="1"/>
      <c r="H44" s="1"/>
      <c r="I44" s="2"/>
      <c r="J44" s="63"/>
      <c r="K44" s="63"/>
      <c r="L44" s="63"/>
      <c r="M44" s="3"/>
      <c r="N44" s="3"/>
      <c r="O44" s="3"/>
      <c r="P44" s="22"/>
      <c r="Q44" s="4"/>
      <c r="R44" s="5"/>
      <c r="S44" s="5"/>
    </row>
    <row r="45" spans="1:36" ht="24.75" customHeight="1">
      <c r="C45" s="1"/>
      <c r="D45" s="1"/>
      <c r="E45" s="1"/>
      <c r="F45" s="1"/>
      <c r="G45" s="1"/>
      <c r="H45" s="1"/>
      <c r="I45" s="2"/>
      <c r="J45" s="63"/>
      <c r="K45" s="63"/>
      <c r="L45" s="63"/>
      <c r="M45" s="3"/>
      <c r="N45" s="3"/>
      <c r="O45" s="3"/>
      <c r="P45" s="22"/>
      <c r="Q45" s="4"/>
      <c r="R45" s="5"/>
      <c r="S45" s="5"/>
    </row>
    <row r="46" spans="1:36" ht="24.75" customHeight="1">
      <c r="C46" s="1"/>
      <c r="I46" s="2"/>
      <c r="J46" s="63"/>
      <c r="K46" s="63"/>
      <c r="L46" s="63"/>
      <c r="M46" s="3"/>
      <c r="N46" s="3"/>
      <c r="O46" s="3"/>
      <c r="P46" s="22"/>
      <c r="Q46" s="4"/>
      <c r="R46" s="5"/>
      <c r="S46" s="5"/>
    </row>
    <row r="47" spans="1:36" ht="24.75" customHeight="1">
      <c r="C47" s="1"/>
      <c r="D47" s="1"/>
      <c r="E47" s="1"/>
      <c r="F47" s="1"/>
      <c r="G47" s="1"/>
      <c r="H47" s="1"/>
      <c r="I47" s="2"/>
      <c r="J47" s="63"/>
      <c r="K47" s="63"/>
      <c r="L47" s="63"/>
      <c r="M47" s="3"/>
      <c r="N47" s="3"/>
      <c r="O47" s="3"/>
      <c r="P47" s="22"/>
      <c r="Q47" s="4"/>
      <c r="R47" s="5"/>
      <c r="S47" s="5"/>
    </row>
    <row r="48" spans="1:36" ht="24.75" customHeight="1">
      <c r="C48" s="1"/>
      <c r="D48" s="1"/>
      <c r="E48" s="1"/>
      <c r="F48" s="1"/>
      <c r="G48" s="1"/>
      <c r="H48" s="1"/>
      <c r="I48" s="2"/>
      <c r="J48" s="63"/>
      <c r="K48" s="63"/>
      <c r="L48" s="63"/>
      <c r="M48" s="3"/>
      <c r="N48" s="3"/>
      <c r="O48" s="3"/>
      <c r="P48" s="134"/>
      <c r="Q48" s="4"/>
      <c r="R48" s="5"/>
      <c r="S48" s="5"/>
    </row>
    <row r="49" spans="3:16" ht="24.75" customHeight="1">
      <c r="C49" s="1"/>
      <c r="D49" s="1"/>
      <c r="E49" s="1"/>
      <c r="F49" s="1"/>
      <c r="G49" s="1"/>
      <c r="H49" s="1"/>
      <c r="I49" s="2"/>
      <c r="J49" s="63"/>
      <c r="K49" s="63"/>
      <c r="L49" s="63"/>
      <c r="M49" s="3"/>
      <c r="N49" s="3"/>
      <c r="O49" s="3"/>
      <c r="P49" s="47"/>
    </row>
    <row r="50" spans="3:16" ht="24.75" customHeight="1">
      <c r="C50" s="1"/>
      <c r="D50" s="1"/>
      <c r="E50" s="1"/>
      <c r="F50" s="1"/>
      <c r="G50" s="1"/>
      <c r="H50" s="1"/>
      <c r="I50" s="2"/>
      <c r="J50" s="63"/>
      <c r="K50" s="63"/>
      <c r="L50" s="63"/>
      <c r="M50" s="3"/>
      <c r="N50" s="3"/>
      <c r="O50" s="3"/>
      <c r="P50" s="47"/>
    </row>
    <row r="51" spans="3:16" ht="24.75" customHeight="1">
      <c r="C51" s="1"/>
      <c r="D51" s="1"/>
      <c r="E51" s="1"/>
      <c r="F51" s="1"/>
      <c r="G51" s="1"/>
      <c r="H51" s="1"/>
      <c r="I51" s="2"/>
      <c r="J51" s="63"/>
      <c r="K51" s="63"/>
      <c r="L51" s="63"/>
      <c r="M51" s="3"/>
      <c r="N51" s="3"/>
      <c r="O51" s="3"/>
      <c r="P51" s="47"/>
    </row>
    <row r="52" spans="3:16" ht="24.75" customHeight="1">
      <c r="C52" s="1"/>
      <c r="D52" s="1"/>
      <c r="E52" s="1"/>
      <c r="F52" s="1"/>
      <c r="G52" s="1"/>
      <c r="H52" s="1"/>
      <c r="I52" s="2"/>
      <c r="J52" s="63"/>
      <c r="K52" s="63"/>
      <c r="L52" s="63"/>
      <c r="M52" s="3"/>
      <c r="N52" s="3"/>
      <c r="O52" s="3"/>
    </row>
    <row r="53" spans="3:16" ht="24.75" customHeight="1">
      <c r="C53" s="1"/>
      <c r="D53" s="1"/>
      <c r="E53" s="1"/>
      <c r="F53" s="1"/>
      <c r="G53" s="1"/>
      <c r="H53" s="1"/>
      <c r="I53" s="2"/>
      <c r="J53" s="63"/>
      <c r="K53" s="63"/>
      <c r="L53" s="63"/>
      <c r="M53" s="3"/>
      <c r="N53" s="3"/>
      <c r="O53" s="3"/>
    </row>
    <row r="54" spans="3:16" ht="24.75" customHeight="1">
      <c r="C54" s="1"/>
      <c r="D54" s="1"/>
      <c r="E54" s="1"/>
      <c r="F54" s="1"/>
      <c r="G54" s="1"/>
      <c r="H54" s="1"/>
      <c r="I54" s="2"/>
      <c r="J54" s="63"/>
      <c r="K54" s="63"/>
      <c r="L54" s="63"/>
      <c r="M54" s="3"/>
      <c r="N54" s="3"/>
      <c r="O54" s="3"/>
    </row>
    <row r="55" spans="3:16" ht="24.75" customHeight="1">
      <c r="C55" s="1"/>
      <c r="D55" s="1"/>
      <c r="E55" s="1"/>
      <c r="F55" s="1"/>
      <c r="G55" s="1"/>
      <c r="H55" s="1"/>
      <c r="I55" s="2"/>
      <c r="J55" s="63"/>
      <c r="K55" s="63"/>
      <c r="L55" s="63"/>
      <c r="M55" s="3"/>
      <c r="N55" s="3"/>
      <c r="O55" s="3"/>
    </row>
    <row r="56" spans="3:16" ht="24.75" customHeight="1">
      <c r="C56" s="1"/>
      <c r="D56" s="1"/>
      <c r="E56" s="1"/>
      <c r="F56" s="1"/>
      <c r="G56" s="1"/>
      <c r="H56" s="1"/>
      <c r="I56" s="2"/>
      <c r="J56" s="63"/>
      <c r="K56" s="63"/>
      <c r="L56" s="63"/>
      <c r="M56" s="3"/>
      <c r="N56" s="3"/>
      <c r="O56" s="3"/>
    </row>
    <row r="57" spans="3:16" ht="24.75" customHeight="1">
      <c r="C57" s="1"/>
      <c r="D57" s="1"/>
      <c r="E57" s="1"/>
      <c r="F57" s="1"/>
      <c r="G57" s="1"/>
      <c r="H57" s="1"/>
      <c r="I57" s="2"/>
      <c r="J57" s="63"/>
      <c r="K57" s="63"/>
      <c r="L57" s="63"/>
      <c r="M57" s="3"/>
      <c r="N57" s="3"/>
      <c r="O57" s="3"/>
    </row>
    <row r="58" spans="3:16" ht="24.75" customHeight="1">
      <c r="C58" s="1"/>
      <c r="D58" s="1"/>
      <c r="E58" s="1"/>
      <c r="F58" s="1"/>
      <c r="G58" s="1"/>
      <c r="H58" s="1"/>
      <c r="I58" s="2"/>
      <c r="J58" s="63"/>
      <c r="K58" s="63"/>
      <c r="L58" s="63"/>
      <c r="M58" s="3"/>
      <c r="N58" s="3"/>
      <c r="O58" s="3"/>
    </row>
    <row r="59" spans="3:16" ht="24.75" customHeight="1">
      <c r="C59" s="1"/>
      <c r="D59" s="1"/>
      <c r="E59" s="1"/>
      <c r="F59" s="1"/>
      <c r="G59" s="1"/>
      <c r="H59" s="1"/>
      <c r="I59" s="2"/>
      <c r="J59" s="63"/>
      <c r="K59" s="63"/>
      <c r="L59" s="63"/>
      <c r="M59" s="3"/>
      <c r="N59" s="3"/>
      <c r="O59" s="3"/>
    </row>
    <row r="60" spans="3:16" ht="24.75" customHeight="1">
      <c r="C60" s="1"/>
      <c r="D60" s="1"/>
      <c r="E60" s="1"/>
      <c r="F60" s="1"/>
      <c r="G60" s="1"/>
      <c r="H60" s="1"/>
      <c r="I60" s="2"/>
      <c r="J60" s="63"/>
      <c r="K60" s="63"/>
      <c r="L60" s="63"/>
      <c r="M60" s="3"/>
      <c r="N60" s="3"/>
      <c r="O60" s="3"/>
    </row>
    <row r="61" spans="3:16" ht="24.75" customHeight="1">
      <c r="C61" s="1"/>
      <c r="D61" s="1"/>
      <c r="E61" s="1"/>
      <c r="F61" s="1"/>
      <c r="G61" s="1"/>
      <c r="H61" s="1"/>
      <c r="I61" s="2"/>
      <c r="J61" s="63"/>
      <c r="K61" s="63"/>
      <c r="L61" s="63"/>
      <c r="M61" s="3"/>
      <c r="N61" s="3"/>
      <c r="O61" s="3"/>
    </row>
    <row r="62" spans="3:16" ht="24.75" customHeight="1">
      <c r="C62" s="1"/>
      <c r="D62" s="1"/>
      <c r="E62" s="1"/>
      <c r="F62" s="1"/>
      <c r="G62" s="1"/>
      <c r="H62" s="1"/>
      <c r="I62" s="2"/>
      <c r="J62" s="63"/>
      <c r="K62" s="63"/>
      <c r="L62" s="63"/>
      <c r="M62" s="3"/>
      <c r="N62" s="3"/>
      <c r="O62" s="3"/>
    </row>
    <row r="63" spans="3:16" ht="24.75" customHeight="1">
      <c r="C63" s="1"/>
      <c r="D63" s="1"/>
      <c r="E63" s="1"/>
      <c r="F63" s="1"/>
      <c r="G63" s="1"/>
      <c r="H63" s="1"/>
      <c r="I63" s="2"/>
      <c r="J63" s="63"/>
      <c r="K63" s="63"/>
      <c r="L63" s="63"/>
      <c r="M63" s="3"/>
      <c r="N63" s="3"/>
      <c r="O63" s="3"/>
    </row>
    <row r="64" spans="3:16" ht="24.75" customHeight="1">
      <c r="C64" s="1"/>
      <c r="D64" s="1"/>
      <c r="E64" s="1"/>
      <c r="F64" s="1"/>
      <c r="G64" s="1"/>
      <c r="H64" s="1"/>
      <c r="I64" s="2"/>
      <c r="J64" s="63"/>
      <c r="K64" s="63"/>
      <c r="L64" s="63"/>
      <c r="M64" s="3"/>
      <c r="N64" s="3"/>
      <c r="O64" s="3"/>
    </row>
    <row r="65" spans="3:12" ht="24.75" customHeight="1">
      <c r="C65" s="1"/>
      <c r="D65" s="1"/>
      <c r="E65" s="1"/>
      <c r="F65" s="1"/>
      <c r="G65" s="1"/>
      <c r="H65" s="1"/>
      <c r="I65" s="2"/>
      <c r="J65" s="63"/>
      <c r="K65" s="63"/>
      <c r="L65" s="63"/>
    </row>
    <row r="66" spans="3:12" ht="24.75" customHeight="1">
      <c r="C66" s="1"/>
      <c r="D66" s="1"/>
      <c r="E66" s="1"/>
      <c r="F66" s="1"/>
      <c r="G66" s="1"/>
      <c r="H66" s="1"/>
      <c r="I66" s="2"/>
      <c r="J66" s="63"/>
      <c r="K66" s="63"/>
      <c r="L66" s="63"/>
    </row>
    <row r="67" spans="3:12" ht="24.75" customHeight="1">
      <c r="C67" s="1"/>
      <c r="D67" s="1"/>
      <c r="E67" s="1"/>
      <c r="F67" s="1"/>
      <c r="G67" s="1"/>
      <c r="H67" s="1"/>
      <c r="I67" s="2"/>
      <c r="J67" s="63"/>
      <c r="K67" s="63"/>
      <c r="L67" s="63"/>
    </row>
    <row r="68" spans="3:12" ht="24.75" customHeight="1">
      <c r="C68" s="1"/>
      <c r="D68" s="1"/>
      <c r="E68" s="1"/>
      <c r="F68" s="1"/>
      <c r="G68" s="1"/>
      <c r="H68" s="1"/>
      <c r="I68" s="2"/>
      <c r="J68" s="63"/>
      <c r="K68" s="63"/>
      <c r="L68" s="63"/>
    </row>
    <row r="69" spans="3:12" ht="24.75" customHeight="1">
      <c r="C69" s="1"/>
      <c r="D69" s="1"/>
      <c r="E69" s="1"/>
      <c r="F69" s="1"/>
      <c r="G69" s="1"/>
      <c r="H69" s="1"/>
      <c r="I69" s="2"/>
      <c r="J69" s="63"/>
      <c r="K69" s="63"/>
      <c r="L69" s="63"/>
    </row>
    <row r="70" spans="3:12" ht="24.75" customHeight="1">
      <c r="C70" s="1"/>
      <c r="D70" s="1"/>
      <c r="E70" s="1"/>
      <c r="F70" s="1"/>
      <c r="G70" s="1"/>
      <c r="H70" s="1"/>
      <c r="I70" s="2"/>
      <c r="J70" s="63"/>
      <c r="K70" s="63"/>
      <c r="L70" s="63"/>
    </row>
    <row r="71" spans="3:12" ht="24.75" customHeight="1">
      <c r="C71" s="1"/>
      <c r="D71" s="1"/>
      <c r="E71" s="1"/>
      <c r="F71" s="1"/>
      <c r="G71" s="1"/>
      <c r="H71" s="1"/>
      <c r="I71" s="2"/>
      <c r="J71" s="63"/>
      <c r="K71" s="63"/>
      <c r="L71" s="63"/>
    </row>
    <row r="72" spans="3:12" ht="24.75" customHeight="1">
      <c r="C72" s="1"/>
      <c r="D72" s="1"/>
      <c r="E72" s="1"/>
      <c r="F72" s="1"/>
      <c r="G72" s="1"/>
      <c r="H72" s="1"/>
      <c r="I72" s="2"/>
      <c r="J72" s="63"/>
      <c r="K72" s="63"/>
      <c r="L72" s="63"/>
    </row>
    <row r="73" spans="3:12" ht="24.75" customHeight="1">
      <c r="C73" s="1"/>
      <c r="D73" s="1"/>
      <c r="E73" s="1"/>
      <c r="F73" s="1"/>
      <c r="G73" s="1"/>
      <c r="H73" s="1"/>
      <c r="I73" s="2"/>
      <c r="J73" s="63"/>
      <c r="K73" s="63"/>
      <c r="L73" s="63"/>
    </row>
    <row r="74" spans="3:12" ht="24.75" customHeight="1">
      <c r="C74" s="1"/>
      <c r="D74" s="1"/>
      <c r="E74" s="1"/>
      <c r="F74" s="1"/>
      <c r="G74" s="1"/>
      <c r="H74" s="1"/>
      <c r="I74" s="2"/>
      <c r="J74" s="63"/>
      <c r="K74" s="63"/>
      <c r="L74" s="63"/>
    </row>
    <row r="75" spans="3:12" ht="24.75" customHeight="1">
      <c r="C75" s="1"/>
      <c r="D75" s="1"/>
      <c r="E75" s="1"/>
      <c r="F75" s="1"/>
      <c r="G75" s="1"/>
      <c r="H75" s="1"/>
      <c r="I75" s="2"/>
      <c r="J75" s="63"/>
      <c r="K75" s="63"/>
      <c r="L75" s="63"/>
    </row>
    <row r="76" spans="3:12" ht="24.75" customHeight="1">
      <c r="C76" s="1"/>
      <c r="D76" s="1"/>
      <c r="E76" s="1"/>
      <c r="F76" s="1"/>
      <c r="G76" s="1"/>
      <c r="H76" s="1"/>
      <c r="I76" s="2"/>
      <c r="J76" s="63"/>
      <c r="K76" s="63"/>
      <c r="L76" s="63"/>
    </row>
    <row r="77" spans="3:12" ht="24.75" customHeight="1">
      <c r="C77" s="1"/>
      <c r="D77" s="1"/>
      <c r="E77" s="1"/>
      <c r="F77" s="1"/>
      <c r="G77" s="1"/>
      <c r="H77" s="1"/>
      <c r="I77" s="2"/>
      <c r="J77" s="63"/>
      <c r="K77" s="63"/>
      <c r="L77" s="63"/>
    </row>
    <row r="78" spans="3:12" ht="24.75" customHeight="1">
      <c r="C78" s="1"/>
      <c r="D78" s="1"/>
      <c r="E78" s="1"/>
      <c r="F78" s="1"/>
      <c r="G78" s="1"/>
      <c r="H78" s="1"/>
      <c r="I78" s="2"/>
      <c r="J78" s="63"/>
      <c r="K78" s="63"/>
      <c r="L78" s="63"/>
    </row>
    <row r="79" spans="3:12" ht="24.75" customHeight="1">
      <c r="C79" s="1"/>
      <c r="D79" s="1"/>
      <c r="E79" s="1"/>
      <c r="F79" s="1"/>
      <c r="G79" s="1"/>
      <c r="H79" s="1"/>
      <c r="I79" s="2"/>
      <c r="J79" s="63"/>
      <c r="K79" s="63"/>
      <c r="L79" s="63"/>
    </row>
    <row r="80" spans="3:12" ht="24.75" customHeight="1">
      <c r="C80" s="1"/>
      <c r="D80" s="1"/>
      <c r="E80" s="1"/>
      <c r="F80" s="1"/>
      <c r="G80" s="1"/>
      <c r="H80" s="1"/>
      <c r="I80" s="2"/>
      <c r="J80" s="63"/>
      <c r="K80" s="63"/>
      <c r="L80" s="63"/>
    </row>
    <row r="81" spans="3:12" ht="24.75" customHeight="1">
      <c r="C81" s="1"/>
      <c r="D81" s="1"/>
      <c r="E81" s="1"/>
      <c r="F81" s="1"/>
      <c r="G81" s="1"/>
      <c r="H81" s="1"/>
      <c r="I81" s="2"/>
      <c r="J81" s="63"/>
      <c r="K81" s="63"/>
      <c r="L81" s="63"/>
    </row>
    <row r="82" spans="3:12" ht="24.75" customHeight="1">
      <c r="C82" s="1"/>
      <c r="D82" s="1"/>
      <c r="E82" s="1"/>
      <c r="F82" s="1"/>
      <c r="G82" s="1"/>
      <c r="H82" s="1"/>
      <c r="I82" s="2"/>
      <c r="J82" s="63"/>
      <c r="K82" s="63"/>
      <c r="L82" s="63"/>
    </row>
    <row r="83" spans="3:12" ht="24.75" customHeight="1">
      <c r="C83" s="1"/>
      <c r="D83" s="1"/>
      <c r="E83" s="1"/>
      <c r="F83" s="1"/>
      <c r="G83" s="1"/>
      <c r="H83" s="1"/>
      <c r="I83" s="2"/>
      <c r="J83" s="63"/>
      <c r="K83" s="63"/>
      <c r="L83" s="63"/>
    </row>
    <row r="84" spans="3:12" ht="24.75" customHeight="1">
      <c r="C84" s="1"/>
      <c r="D84" s="1"/>
      <c r="E84" s="1"/>
      <c r="F84" s="1"/>
      <c r="G84" s="1"/>
      <c r="H84" s="1"/>
      <c r="I84" s="2"/>
      <c r="J84" s="63"/>
      <c r="K84" s="63"/>
      <c r="L84" s="63"/>
    </row>
    <row r="85" spans="3:12" ht="24.75" customHeight="1">
      <c r="C85" s="1"/>
      <c r="D85" s="1"/>
      <c r="E85" s="1"/>
      <c r="F85" s="1"/>
      <c r="G85" s="1"/>
      <c r="H85" s="1"/>
      <c r="I85" s="2"/>
      <c r="J85" s="63"/>
      <c r="K85" s="63"/>
      <c r="L85" s="63"/>
    </row>
    <row r="86" spans="3:12" ht="24.75" customHeight="1">
      <c r="C86" s="1"/>
      <c r="D86" s="1"/>
      <c r="E86" s="1"/>
      <c r="F86" s="1"/>
      <c r="G86" s="1"/>
      <c r="H86" s="1"/>
      <c r="I86" s="2"/>
      <c r="J86" s="63"/>
      <c r="K86" s="63"/>
      <c r="L86" s="63"/>
    </row>
    <row r="87" spans="3:12" ht="24.75" customHeight="1">
      <c r="C87" s="1"/>
      <c r="D87" s="1"/>
      <c r="E87" s="1"/>
      <c r="F87" s="1"/>
      <c r="G87" s="1"/>
      <c r="H87" s="1"/>
      <c r="I87" s="2"/>
      <c r="J87" s="63"/>
      <c r="K87" s="63"/>
      <c r="L87" s="63"/>
    </row>
    <row r="88" spans="3:12" ht="24.75" customHeight="1">
      <c r="C88" s="1"/>
      <c r="D88" s="1"/>
      <c r="E88" s="1"/>
      <c r="F88" s="1"/>
      <c r="G88" s="1"/>
      <c r="H88" s="1"/>
      <c r="I88" s="2"/>
      <c r="J88" s="63"/>
      <c r="K88" s="63"/>
      <c r="L88" s="63"/>
    </row>
    <row r="89" spans="3:12" ht="24.75" customHeight="1">
      <c r="C89" s="1"/>
      <c r="D89" s="1"/>
      <c r="E89" s="1"/>
      <c r="F89" s="1"/>
      <c r="G89" s="1"/>
      <c r="H89" s="1"/>
      <c r="I89" s="2"/>
      <c r="J89" s="63"/>
      <c r="K89" s="63"/>
      <c r="L89" s="63"/>
    </row>
    <row r="90" spans="3:12" ht="24.75" customHeight="1">
      <c r="C90" s="1"/>
      <c r="D90" s="1"/>
      <c r="E90" s="1"/>
      <c r="F90" s="1"/>
      <c r="G90" s="1"/>
      <c r="H90" s="1"/>
      <c r="I90" s="2"/>
      <c r="J90" s="63"/>
      <c r="K90" s="63"/>
      <c r="L90" s="63"/>
    </row>
    <row r="91" spans="3:12" ht="24.75" customHeight="1">
      <c r="C91" s="1"/>
      <c r="D91" s="1"/>
      <c r="E91" s="1"/>
      <c r="F91" s="1"/>
      <c r="G91" s="1"/>
      <c r="H91" s="1"/>
      <c r="I91" s="2"/>
      <c r="J91" s="63"/>
      <c r="K91" s="63"/>
      <c r="L91" s="63"/>
    </row>
    <row r="92" spans="3:12" ht="24.75" customHeight="1">
      <c r="C92" s="1"/>
      <c r="D92" s="1"/>
      <c r="E92" s="1"/>
      <c r="F92" s="1"/>
      <c r="G92" s="1"/>
      <c r="H92" s="1"/>
      <c r="I92" s="2"/>
      <c r="J92" s="63"/>
      <c r="K92" s="63"/>
      <c r="L92" s="63"/>
    </row>
    <row r="93" spans="3:12" ht="24.75" customHeight="1">
      <c r="C93" s="1"/>
      <c r="D93" s="1"/>
      <c r="E93" s="1"/>
      <c r="F93" s="1"/>
      <c r="G93" s="1"/>
      <c r="H93" s="1"/>
      <c r="I93" s="2"/>
      <c r="J93" s="63"/>
      <c r="K93" s="63"/>
      <c r="L93" s="63"/>
    </row>
    <row r="94" spans="3:12" ht="24.75" customHeight="1">
      <c r="C94" s="1"/>
      <c r="D94" s="1"/>
      <c r="E94" s="1"/>
      <c r="F94" s="1"/>
      <c r="G94" s="1"/>
      <c r="H94" s="1"/>
      <c r="I94" s="2"/>
      <c r="J94" s="63"/>
      <c r="K94" s="63"/>
      <c r="L94" s="63"/>
    </row>
    <row r="95" spans="3:12" ht="24.75" customHeight="1">
      <c r="C95" s="1"/>
      <c r="D95" s="1"/>
      <c r="E95" s="1"/>
      <c r="F95" s="1"/>
      <c r="G95" s="1"/>
      <c r="H95" s="1"/>
      <c r="I95" s="2"/>
      <c r="J95" s="63"/>
      <c r="K95" s="63"/>
      <c r="L95" s="63"/>
    </row>
    <row r="96" spans="3:12" ht="24.75" customHeight="1">
      <c r="C96" s="1"/>
      <c r="D96" s="1"/>
      <c r="E96" s="1"/>
      <c r="F96" s="1"/>
      <c r="G96" s="1"/>
      <c r="H96" s="1"/>
      <c r="I96" s="2"/>
      <c r="J96" s="63"/>
      <c r="K96" s="63"/>
      <c r="L96" s="63"/>
    </row>
    <row r="97" spans="3:12" ht="24.75" customHeight="1">
      <c r="C97" s="1"/>
      <c r="D97" s="1"/>
      <c r="E97" s="1"/>
      <c r="F97" s="1"/>
      <c r="G97" s="1"/>
      <c r="H97" s="1"/>
      <c r="I97" s="2"/>
      <c r="J97" s="63"/>
      <c r="K97" s="63"/>
      <c r="L97" s="63"/>
    </row>
    <row r="98" spans="3:12" ht="24.75" customHeight="1">
      <c r="C98" s="1"/>
      <c r="D98" s="1"/>
      <c r="E98" s="1"/>
      <c r="F98" s="1"/>
      <c r="G98" s="1"/>
      <c r="H98" s="1"/>
      <c r="I98" s="2"/>
      <c r="J98" s="63"/>
      <c r="K98" s="63"/>
      <c r="L98" s="63"/>
    </row>
    <row r="99" spans="3:12" ht="24.75" customHeight="1">
      <c r="C99" s="1"/>
      <c r="D99" s="1"/>
      <c r="E99" s="1"/>
      <c r="F99" s="1"/>
      <c r="G99" s="1"/>
      <c r="H99" s="1"/>
      <c r="I99" s="2"/>
      <c r="J99" s="63"/>
      <c r="K99" s="63"/>
      <c r="L99" s="63"/>
    </row>
    <row r="100" spans="3:12" ht="24.75" customHeight="1">
      <c r="C100" s="1"/>
      <c r="D100" s="1"/>
      <c r="E100" s="1"/>
      <c r="F100" s="1"/>
      <c r="G100" s="1"/>
      <c r="H100" s="1"/>
      <c r="I100" s="2"/>
      <c r="J100" s="63"/>
      <c r="K100" s="63"/>
      <c r="L100" s="63"/>
    </row>
    <row r="101" spans="3:12" ht="24.75" customHeight="1">
      <c r="C101" s="1"/>
      <c r="D101" s="1"/>
      <c r="E101" s="1"/>
      <c r="F101" s="1"/>
      <c r="G101" s="1"/>
      <c r="H101" s="1"/>
      <c r="I101" s="2"/>
      <c r="J101" s="63"/>
      <c r="K101" s="63"/>
      <c r="L101" s="63"/>
    </row>
    <row r="102" spans="3:12" ht="24.75" customHeight="1">
      <c r="C102" s="1"/>
      <c r="D102" s="1"/>
      <c r="E102" s="1"/>
      <c r="F102" s="1"/>
      <c r="G102" s="1"/>
      <c r="H102" s="1"/>
      <c r="I102" s="2"/>
      <c r="J102" s="63"/>
      <c r="K102" s="63"/>
      <c r="L102" s="63"/>
    </row>
    <row r="103" spans="3:12" ht="24.75" customHeight="1">
      <c r="C103" s="1"/>
      <c r="D103" s="1"/>
      <c r="E103" s="1"/>
      <c r="F103" s="1"/>
      <c r="G103" s="1"/>
      <c r="H103" s="1"/>
      <c r="I103" s="2"/>
      <c r="J103" s="63"/>
      <c r="K103" s="63"/>
      <c r="L103" s="63"/>
    </row>
    <row r="104" spans="3:12" ht="24.75" customHeight="1">
      <c r="C104" s="1"/>
      <c r="D104" s="1"/>
      <c r="E104" s="1"/>
      <c r="F104" s="1"/>
      <c r="G104" s="1"/>
      <c r="H104" s="1"/>
      <c r="I104" s="2"/>
      <c r="J104" s="63"/>
      <c r="K104" s="63"/>
      <c r="L104" s="63"/>
    </row>
    <row r="105" spans="3:12" ht="24.75" customHeight="1">
      <c r="C105" s="1"/>
      <c r="D105" s="1"/>
      <c r="E105" s="1"/>
      <c r="F105" s="1"/>
      <c r="G105" s="1"/>
      <c r="H105" s="1"/>
      <c r="I105" s="2"/>
      <c r="J105" s="63"/>
      <c r="K105" s="63"/>
      <c r="L105" s="63"/>
    </row>
    <row r="106" spans="3:12" ht="24.75" customHeight="1">
      <c r="C106" s="1"/>
      <c r="D106" s="1"/>
      <c r="E106" s="1"/>
      <c r="F106" s="1"/>
      <c r="G106" s="1"/>
      <c r="H106" s="1"/>
      <c r="I106" s="2"/>
      <c r="J106" s="63"/>
      <c r="K106" s="63"/>
      <c r="L106" s="63"/>
    </row>
    <row r="107" spans="3:12" ht="24.75" customHeight="1">
      <c r="C107" s="1"/>
      <c r="D107" s="1"/>
      <c r="E107" s="1"/>
      <c r="F107" s="1"/>
      <c r="G107" s="1"/>
      <c r="H107" s="1"/>
      <c r="I107" s="2"/>
      <c r="J107" s="63"/>
      <c r="K107" s="63"/>
      <c r="L107" s="63"/>
    </row>
    <row r="108" spans="3:12" ht="24.75" customHeight="1">
      <c r="C108" s="1"/>
      <c r="D108" s="1"/>
      <c r="E108" s="1"/>
      <c r="F108" s="1"/>
      <c r="G108" s="1"/>
      <c r="H108" s="1"/>
      <c r="I108" s="2"/>
      <c r="J108" s="63"/>
      <c r="K108" s="63"/>
      <c r="L108" s="63"/>
    </row>
    <row r="109" spans="3:12" ht="24.75" customHeight="1">
      <c r="C109" s="1"/>
      <c r="D109" s="1"/>
      <c r="E109" s="1"/>
      <c r="F109" s="1"/>
      <c r="G109" s="1"/>
      <c r="H109" s="1"/>
      <c r="I109" s="2"/>
      <c r="J109" s="63"/>
      <c r="K109" s="63"/>
      <c r="L109" s="63"/>
    </row>
    <row r="110" spans="3:12" ht="24.75" customHeight="1">
      <c r="C110" s="1"/>
      <c r="D110" s="1"/>
      <c r="E110" s="1"/>
      <c r="F110" s="1"/>
      <c r="G110" s="1"/>
      <c r="H110" s="1"/>
      <c r="I110" s="2"/>
      <c r="J110" s="63"/>
      <c r="K110" s="63"/>
      <c r="L110" s="63"/>
    </row>
    <row r="111" spans="3:12" ht="24.75" customHeight="1">
      <c r="C111" s="1"/>
      <c r="D111" s="1"/>
      <c r="E111" s="1"/>
      <c r="F111" s="1"/>
      <c r="G111" s="1"/>
      <c r="H111" s="1"/>
      <c r="I111" s="2"/>
      <c r="J111" s="63"/>
      <c r="K111" s="63"/>
      <c r="L111" s="63"/>
    </row>
    <row r="112" spans="3:12" ht="24.75" customHeight="1">
      <c r="C112" s="1"/>
      <c r="D112" s="1"/>
      <c r="E112" s="1"/>
      <c r="F112" s="1"/>
      <c r="G112" s="1"/>
      <c r="H112" s="1"/>
      <c r="I112" s="2"/>
      <c r="J112" s="63"/>
      <c r="K112" s="63"/>
      <c r="L112" s="63"/>
    </row>
    <row r="113" spans="3:19" ht="24.75" customHeight="1">
      <c r="C113" s="1"/>
      <c r="D113" s="1"/>
      <c r="E113" s="1"/>
      <c r="F113" s="1"/>
      <c r="G113" s="1"/>
      <c r="H113" s="1"/>
      <c r="I113" s="2"/>
      <c r="J113" s="63"/>
      <c r="K113" s="63"/>
      <c r="L113" s="63"/>
    </row>
    <row r="114" spans="3:19" ht="24.75" customHeight="1">
      <c r="C114" s="1"/>
      <c r="D114" s="1"/>
      <c r="E114" s="1"/>
      <c r="F114" s="1"/>
      <c r="G114" s="1"/>
      <c r="H114" s="1"/>
      <c r="I114" s="2"/>
      <c r="J114" s="63"/>
      <c r="K114" s="63"/>
      <c r="L114" s="63"/>
    </row>
    <row r="115" spans="3:19" ht="24.75" customHeight="1">
      <c r="C115" s="1"/>
      <c r="D115" s="1"/>
      <c r="E115" s="1"/>
      <c r="F115" s="1"/>
      <c r="G115" s="1"/>
      <c r="H115" s="1"/>
      <c r="I115" s="2"/>
      <c r="J115" s="63"/>
      <c r="K115" s="63"/>
      <c r="L115" s="63"/>
    </row>
    <row r="116" spans="3:19" ht="24.75" customHeight="1">
      <c r="C116" s="1"/>
      <c r="D116" s="1"/>
      <c r="E116" s="1"/>
      <c r="F116" s="1"/>
      <c r="G116" s="1"/>
      <c r="H116" s="1"/>
      <c r="I116" s="2"/>
      <c r="J116" s="63"/>
      <c r="K116" s="63"/>
      <c r="L116" s="63"/>
    </row>
    <row r="117" spans="3:19" ht="15.75" customHeight="1">
      <c r="C117" s="1"/>
      <c r="I117" s="2"/>
      <c r="J117" s="63"/>
      <c r="K117" s="63"/>
      <c r="L117" s="63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63"/>
      <c r="K118" s="63"/>
      <c r="L118" s="63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63"/>
      <c r="K119" s="63"/>
      <c r="L119" s="63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63"/>
      <c r="K120" s="63"/>
      <c r="L120" s="63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63"/>
      <c r="K121" s="63"/>
      <c r="L121" s="63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63"/>
      <c r="K122" s="63"/>
      <c r="L122" s="63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63"/>
      <c r="K123" s="63"/>
      <c r="L123" s="63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63"/>
      <c r="K124" s="63"/>
      <c r="L124" s="63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63"/>
      <c r="K125" s="63"/>
      <c r="L125" s="63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63"/>
      <c r="K126" s="63"/>
      <c r="L126" s="63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63"/>
      <c r="K127" s="63"/>
      <c r="L127" s="63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63"/>
      <c r="K128" s="63"/>
      <c r="L128" s="63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63"/>
      <c r="K129" s="63"/>
      <c r="L129" s="63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63"/>
      <c r="K130" s="63"/>
      <c r="L130" s="63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63"/>
      <c r="K131" s="63"/>
      <c r="L131" s="63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63"/>
      <c r="K132" s="63"/>
      <c r="L132" s="63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63"/>
      <c r="K133" s="63"/>
      <c r="L133" s="63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63"/>
      <c r="K134" s="63"/>
      <c r="L134" s="63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63"/>
      <c r="K135" s="63"/>
      <c r="L135" s="63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63"/>
      <c r="K136" s="63"/>
      <c r="L136" s="63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63"/>
      <c r="K137" s="63"/>
      <c r="L137" s="63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63"/>
      <c r="K138" s="63"/>
      <c r="L138" s="63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63"/>
      <c r="K139" s="63"/>
      <c r="L139" s="63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63"/>
      <c r="K140" s="63"/>
      <c r="L140" s="63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63"/>
      <c r="K141" s="63"/>
      <c r="L141" s="63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63"/>
      <c r="K142" s="63"/>
      <c r="L142" s="63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63"/>
      <c r="K143" s="63"/>
      <c r="L143" s="63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63"/>
      <c r="K144" s="63"/>
      <c r="L144" s="63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63"/>
      <c r="K145" s="63"/>
      <c r="L145" s="63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63"/>
      <c r="K146" s="63"/>
      <c r="L146" s="63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63"/>
      <c r="K147" s="63"/>
      <c r="L147" s="63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63"/>
      <c r="K148" s="63"/>
      <c r="L148" s="63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63"/>
      <c r="K149" s="63"/>
      <c r="L149" s="63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63"/>
      <c r="K150" s="63"/>
      <c r="L150" s="63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63"/>
      <c r="K151" s="63"/>
      <c r="L151" s="63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63"/>
      <c r="K152" s="63"/>
      <c r="L152" s="63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63"/>
      <c r="K153" s="63"/>
      <c r="L153" s="63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63"/>
      <c r="K154" s="63"/>
      <c r="L154" s="63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63"/>
      <c r="K155" s="63"/>
      <c r="L155" s="63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63"/>
      <c r="K156" s="63"/>
      <c r="L156" s="63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63"/>
      <c r="K157" s="63"/>
      <c r="L157" s="63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63"/>
      <c r="K158" s="63"/>
      <c r="L158" s="63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63"/>
      <c r="K159" s="63"/>
      <c r="L159" s="63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63"/>
      <c r="K160" s="63"/>
      <c r="L160" s="63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63"/>
      <c r="K161" s="63"/>
      <c r="L161" s="63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63"/>
      <c r="K162" s="63"/>
      <c r="L162" s="63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63"/>
      <c r="K163" s="63"/>
      <c r="L163" s="63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63"/>
      <c r="K164" s="63"/>
      <c r="L164" s="63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63"/>
      <c r="K165" s="63"/>
      <c r="L165" s="63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63"/>
      <c r="K166" s="63"/>
      <c r="L166" s="63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63"/>
      <c r="K167" s="63"/>
      <c r="L167" s="63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63"/>
      <c r="K168" s="63"/>
      <c r="L168" s="63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63"/>
      <c r="K169" s="63"/>
      <c r="L169" s="63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63"/>
      <c r="K170" s="63"/>
      <c r="L170" s="63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63"/>
      <c r="K171" s="63"/>
      <c r="L171" s="63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63"/>
      <c r="K172" s="63"/>
      <c r="L172" s="63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63"/>
      <c r="K173" s="63"/>
      <c r="L173" s="63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63"/>
      <c r="K174" s="63"/>
      <c r="L174" s="63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63"/>
      <c r="K175" s="63"/>
      <c r="L175" s="63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63"/>
      <c r="K176" s="63"/>
      <c r="L176" s="63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63"/>
      <c r="K177" s="63"/>
      <c r="L177" s="63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63"/>
      <c r="K178" s="63"/>
      <c r="L178" s="63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63"/>
      <c r="K179" s="63"/>
      <c r="L179" s="63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63"/>
      <c r="K180" s="63"/>
      <c r="L180" s="63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63"/>
      <c r="K181" s="63"/>
      <c r="L181" s="63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63"/>
      <c r="K182" s="63"/>
      <c r="L182" s="63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63"/>
      <c r="K183" s="63"/>
      <c r="L183" s="63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63"/>
      <c r="K184" s="63"/>
      <c r="L184" s="63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63"/>
      <c r="K185" s="63"/>
      <c r="L185" s="63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63"/>
      <c r="K186" s="63"/>
      <c r="L186" s="63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63"/>
      <c r="K187" s="63"/>
      <c r="L187" s="63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63"/>
      <c r="K188" s="63"/>
      <c r="L188" s="63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63"/>
      <c r="K189" s="63"/>
      <c r="L189" s="63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63"/>
      <c r="K190" s="63"/>
      <c r="L190" s="63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63"/>
      <c r="K191" s="63"/>
      <c r="L191" s="63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63"/>
      <c r="K192" s="63"/>
      <c r="L192" s="63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63"/>
      <c r="K193" s="63"/>
      <c r="L193" s="63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63"/>
      <c r="K194" s="63"/>
      <c r="L194" s="63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63"/>
      <c r="K195" s="63"/>
      <c r="L195" s="63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63"/>
      <c r="K196" s="63"/>
      <c r="L196" s="63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63"/>
      <c r="K197" s="63"/>
      <c r="L197" s="63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63"/>
      <c r="K198" s="63"/>
      <c r="L198" s="63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63"/>
      <c r="K199" s="63"/>
      <c r="L199" s="63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63"/>
      <c r="K200" s="63"/>
      <c r="L200" s="63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63"/>
      <c r="K201" s="63"/>
      <c r="L201" s="63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63"/>
      <c r="K202" s="63"/>
      <c r="L202" s="63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63"/>
      <c r="K203" s="63"/>
      <c r="L203" s="63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63"/>
      <c r="K204" s="63"/>
      <c r="L204" s="63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63"/>
      <c r="K205" s="63"/>
      <c r="L205" s="63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63"/>
      <c r="K206" s="63"/>
      <c r="L206" s="63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63"/>
      <c r="K207" s="63"/>
      <c r="L207" s="63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63"/>
      <c r="K208" s="63"/>
      <c r="L208" s="63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63"/>
      <c r="K209" s="63"/>
      <c r="L209" s="63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63"/>
      <c r="K210" s="63"/>
      <c r="L210" s="63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63"/>
      <c r="K211" s="63"/>
      <c r="L211" s="63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63"/>
      <c r="K212" s="63"/>
      <c r="L212" s="63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63"/>
      <c r="K213" s="63"/>
      <c r="L213" s="63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63"/>
      <c r="K214" s="63"/>
      <c r="L214" s="63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63"/>
      <c r="K215" s="63"/>
      <c r="L215" s="63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63"/>
      <c r="K216" s="63"/>
      <c r="L216" s="63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63"/>
      <c r="K217" s="63"/>
      <c r="L217" s="63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63"/>
      <c r="K218" s="63"/>
      <c r="L218" s="63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63"/>
      <c r="K219" s="63"/>
      <c r="L219" s="63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63"/>
      <c r="K220" s="63"/>
      <c r="L220" s="63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63"/>
      <c r="K221" s="63"/>
      <c r="L221" s="63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63"/>
      <c r="K222" s="63"/>
      <c r="L222" s="63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63"/>
      <c r="K223" s="63"/>
      <c r="L223" s="63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63"/>
      <c r="K224" s="63"/>
      <c r="L224" s="63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63"/>
      <c r="K225" s="63"/>
      <c r="L225" s="63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63"/>
      <c r="K226" s="63"/>
      <c r="L226" s="63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63"/>
      <c r="K227" s="63"/>
      <c r="L227" s="63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63"/>
      <c r="K228" s="63"/>
      <c r="L228" s="63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63"/>
      <c r="K229" s="63"/>
      <c r="L229" s="63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63"/>
      <c r="K230" s="63"/>
      <c r="L230" s="63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63"/>
      <c r="K231" s="63"/>
      <c r="L231" s="63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63"/>
      <c r="K232" s="63"/>
      <c r="L232" s="63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63"/>
      <c r="K233" s="63"/>
      <c r="L233" s="63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63"/>
      <c r="K234" s="63"/>
      <c r="L234" s="63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63"/>
      <c r="K235" s="63"/>
      <c r="L235" s="63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63"/>
      <c r="K236" s="63"/>
      <c r="L236" s="63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63"/>
      <c r="K237" s="63"/>
      <c r="L237" s="63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63"/>
      <c r="K238" s="63"/>
      <c r="L238" s="63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63"/>
      <c r="K239" s="63"/>
      <c r="L239" s="63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63"/>
      <c r="K240" s="63"/>
      <c r="L240" s="63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63"/>
      <c r="K241" s="63"/>
      <c r="L241" s="63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63"/>
      <c r="K242" s="63"/>
      <c r="L242" s="63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63"/>
      <c r="K243" s="63"/>
      <c r="L243" s="63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63"/>
      <c r="K244" s="63"/>
      <c r="L244" s="63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63"/>
      <c r="K245" s="63"/>
      <c r="L245" s="63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63"/>
      <c r="K246" s="63"/>
      <c r="L246" s="63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63"/>
      <c r="K247" s="63"/>
      <c r="L247" s="63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63"/>
      <c r="K248" s="63"/>
      <c r="L248" s="63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63"/>
      <c r="K249" s="63"/>
      <c r="L249" s="63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63"/>
      <c r="K250" s="63"/>
      <c r="L250" s="63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63"/>
      <c r="K251" s="63"/>
      <c r="L251" s="63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63"/>
      <c r="K252" s="63"/>
      <c r="L252" s="63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63"/>
      <c r="K253" s="63"/>
      <c r="L253" s="63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63"/>
      <c r="K254" s="63"/>
      <c r="L254" s="63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63"/>
      <c r="K255" s="63"/>
      <c r="L255" s="63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63"/>
      <c r="K256" s="63"/>
      <c r="L256" s="63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63"/>
      <c r="K257" s="63"/>
      <c r="L257" s="63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63"/>
      <c r="K258" s="63"/>
      <c r="L258" s="63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63"/>
      <c r="K259" s="63"/>
      <c r="L259" s="63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63"/>
      <c r="K260" s="63"/>
      <c r="L260" s="63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63"/>
      <c r="K261" s="63"/>
      <c r="L261" s="63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63"/>
      <c r="K262" s="63"/>
      <c r="L262" s="63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63"/>
      <c r="K263" s="63"/>
      <c r="L263" s="63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63"/>
      <c r="K264" s="63"/>
      <c r="L264" s="63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63"/>
      <c r="K265" s="63"/>
      <c r="L265" s="63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63"/>
      <c r="K266" s="63"/>
      <c r="L266" s="63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63"/>
      <c r="K267" s="63"/>
      <c r="L267" s="63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63"/>
      <c r="K268" s="63"/>
      <c r="L268" s="63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63"/>
      <c r="K269" s="63"/>
      <c r="L269" s="63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63"/>
      <c r="K270" s="63"/>
      <c r="L270" s="63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63"/>
      <c r="K271" s="63"/>
      <c r="L271" s="63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63"/>
      <c r="K272" s="63"/>
      <c r="L272" s="63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63"/>
      <c r="K273" s="63"/>
      <c r="L273" s="63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63"/>
      <c r="K274" s="63"/>
      <c r="L274" s="63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63"/>
      <c r="K275" s="63"/>
      <c r="L275" s="63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63"/>
      <c r="K276" s="63"/>
      <c r="L276" s="63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63"/>
      <c r="K277" s="63"/>
      <c r="L277" s="63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63"/>
      <c r="K278" s="63"/>
      <c r="L278" s="63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63"/>
      <c r="K279" s="63"/>
      <c r="L279" s="63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63"/>
      <c r="K280" s="63"/>
      <c r="L280" s="63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63"/>
      <c r="K281" s="63"/>
      <c r="L281" s="63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63"/>
      <c r="K282" s="63"/>
      <c r="L282" s="63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63"/>
      <c r="K283" s="63"/>
      <c r="L283" s="63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63"/>
      <c r="K284" s="63"/>
      <c r="L284" s="63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63"/>
      <c r="K285" s="63"/>
      <c r="L285" s="63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63"/>
      <c r="K286" s="63"/>
      <c r="L286" s="63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63"/>
      <c r="K287" s="63"/>
      <c r="L287" s="63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63"/>
      <c r="K288" s="63"/>
      <c r="L288" s="63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63"/>
      <c r="K289" s="63"/>
      <c r="L289" s="63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63"/>
      <c r="K290" s="63"/>
      <c r="L290" s="63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63"/>
      <c r="K291" s="63"/>
      <c r="L291" s="63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63"/>
      <c r="K292" s="63"/>
      <c r="L292" s="63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63"/>
      <c r="K293" s="63"/>
      <c r="L293" s="63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63"/>
      <c r="K294" s="63"/>
      <c r="L294" s="63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63"/>
      <c r="K295" s="63"/>
      <c r="L295" s="63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63"/>
      <c r="K296" s="63"/>
      <c r="L296" s="63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63"/>
      <c r="K297" s="63"/>
      <c r="L297" s="63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63"/>
      <c r="K298" s="63"/>
      <c r="L298" s="63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63"/>
      <c r="K299" s="63"/>
      <c r="L299" s="63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63"/>
      <c r="K300" s="63"/>
      <c r="L300" s="63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63"/>
      <c r="K301" s="63"/>
      <c r="L301" s="63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63"/>
      <c r="K302" s="63"/>
      <c r="L302" s="63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63"/>
      <c r="K303" s="63"/>
      <c r="L303" s="63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63"/>
      <c r="K304" s="63"/>
      <c r="L304" s="63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63"/>
      <c r="K305" s="63"/>
      <c r="L305" s="63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63"/>
      <c r="K306" s="63"/>
      <c r="L306" s="63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63"/>
      <c r="K307" s="63"/>
      <c r="L307" s="63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63"/>
      <c r="K308" s="63"/>
      <c r="L308" s="63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63"/>
      <c r="K309" s="63"/>
      <c r="L309" s="63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63"/>
      <c r="K310" s="63"/>
      <c r="L310" s="63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63"/>
      <c r="K311" s="63"/>
      <c r="L311" s="63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63"/>
      <c r="K312" s="63"/>
      <c r="L312" s="63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63"/>
      <c r="K313" s="63"/>
      <c r="L313" s="63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63"/>
      <c r="K314" s="63"/>
      <c r="L314" s="63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63"/>
      <c r="K315" s="63"/>
      <c r="L315" s="63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63"/>
      <c r="K316" s="63"/>
      <c r="L316" s="63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63"/>
      <c r="K317" s="63"/>
      <c r="L317" s="63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63"/>
      <c r="K318" s="63"/>
      <c r="L318" s="63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63"/>
      <c r="K319" s="63"/>
      <c r="L319" s="63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63"/>
      <c r="K320" s="63"/>
      <c r="L320" s="63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63"/>
      <c r="K321" s="63"/>
      <c r="L321" s="63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63"/>
      <c r="K322" s="63"/>
      <c r="L322" s="63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63"/>
      <c r="K323" s="63"/>
      <c r="L323" s="63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63"/>
      <c r="K324" s="63"/>
      <c r="L324" s="63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63"/>
      <c r="K325" s="63"/>
      <c r="L325" s="63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63"/>
      <c r="K326" s="63"/>
      <c r="L326" s="63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63"/>
      <c r="K327" s="63"/>
      <c r="L327" s="63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63"/>
      <c r="K328" s="63"/>
      <c r="L328" s="63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63"/>
      <c r="K329" s="63"/>
      <c r="L329" s="63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63"/>
      <c r="K330" s="63"/>
      <c r="L330" s="63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63"/>
      <c r="K331" s="63"/>
      <c r="L331" s="63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63"/>
      <c r="K332" s="63"/>
      <c r="L332" s="63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63"/>
      <c r="K333" s="63"/>
      <c r="L333" s="63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63"/>
      <c r="K334" s="63"/>
      <c r="L334" s="63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63"/>
      <c r="K335" s="63"/>
      <c r="L335" s="63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63"/>
      <c r="K336" s="63"/>
      <c r="L336" s="63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63"/>
      <c r="K337" s="63"/>
      <c r="L337" s="63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63"/>
      <c r="K338" s="63"/>
      <c r="L338" s="63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63"/>
      <c r="K339" s="63"/>
      <c r="L339" s="63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63"/>
      <c r="K340" s="63"/>
      <c r="L340" s="63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63"/>
      <c r="K341" s="63"/>
      <c r="L341" s="63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63"/>
      <c r="K342" s="63"/>
      <c r="L342" s="63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63"/>
      <c r="K343" s="63"/>
      <c r="L343" s="63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63"/>
      <c r="K344" s="63"/>
      <c r="L344" s="63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63"/>
      <c r="K345" s="63"/>
      <c r="L345" s="63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63"/>
      <c r="K346" s="63"/>
      <c r="L346" s="63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63"/>
      <c r="K347" s="63"/>
      <c r="L347" s="63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63"/>
      <c r="K348" s="63"/>
      <c r="L348" s="63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63"/>
      <c r="K349" s="63"/>
      <c r="L349" s="63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63"/>
      <c r="K350" s="63"/>
      <c r="L350" s="63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63"/>
      <c r="K351" s="63"/>
      <c r="L351" s="63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63"/>
      <c r="K352" s="63"/>
      <c r="L352" s="63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63"/>
      <c r="K353" s="63"/>
      <c r="L353" s="63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63"/>
      <c r="K354" s="63"/>
      <c r="L354" s="63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63"/>
      <c r="K355" s="63"/>
      <c r="L355" s="63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63"/>
      <c r="K356" s="63"/>
      <c r="L356" s="63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63"/>
      <c r="K357" s="63"/>
      <c r="L357" s="63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63"/>
      <c r="K358" s="63"/>
      <c r="L358" s="63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63"/>
      <c r="K359" s="63"/>
      <c r="L359" s="63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63"/>
      <c r="K360" s="63"/>
      <c r="L360" s="63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63"/>
      <c r="K361" s="63"/>
      <c r="L361" s="63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63"/>
      <c r="K362" s="63"/>
      <c r="L362" s="63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63"/>
      <c r="K363" s="63"/>
      <c r="L363" s="63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63"/>
      <c r="K364" s="63"/>
      <c r="L364" s="63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63"/>
      <c r="K365" s="63"/>
      <c r="L365" s="63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63"/>
      <c r="K366" s="63"/>
      <c r="L366" s="63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63"/>
      <c r="K367" s="63"/>
      <c r="L367" s="63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63"/>
      <c r="K368" s="63"/>
      <c r="L368" s="63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63"/>
      <c r="K369" s="63"/>
      <c r="L369" s="63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63"/>
      <c r="K370" s="63"/>
      <c r="L370" s="63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63"/>
      <c r="K371" s="63"/>
      <c r="L371" s="63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63"/>
      <c r="K372" s="63"/>
      <c r="L372" s="63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63"/>
      <c r="K373" s="63"/>
      <c r="L373" s="63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63"/>
      <c r="K374" s="63"/>
      <c r="L374" s="63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63"/>
      <c r="K375" s="63"/>
      <c r="L375" s="63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63"/>
      <c r="K376" s="63"/>
      <c r="L376" s="63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63"/>
      <c r="K377" s="63"/>
      <c r="L377" s="63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63"/>
      <c r="K378" s="63"/>
      <c r="L378" s="63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63"/>
      <c r="K379" s="63"/>
      <c r="L379" s="63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63"/>
      <c r="K380" s="63"/>
      <c r="L380" s="63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63"/>
      <c r="K381" s="63"/>
      <c r="L381" s="63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63"/>
      <c r="K382" s="63"/>
      <c r="L382" s="63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63"/>
      <c r="K383" s="63"/>
      <c r="L383" s="63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63"/>
      <c r="K384" s="63"/>
      <c r="L384" s="63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63"/>
      <c r="K385" s="63"/>
      <c r="L385" s="63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63"/>
      <c r="K386" s="63"/>
      <c r="L386" s="63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63"/>
      <c r="K387" s="63"/>
      <c r="L387" s="63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63"/>
      <c r="K388" s="63"/>
      <c r="L388" s="63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63"/>
      <c r="K389" s="63"/>
      <c r="L389" s="63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63"/>
      <c r="K390" s="63"/>
      <c r="L390" s="63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63"/>
      <c r="K391" s="63"/>
      <c r="L391" s="63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63"/>
      <c r="K392" s="63"/>
      <c r="L392" s="63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63"/>
      <c r="K393" s="63"/>
      <c r="L393" s="63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63"/>
      <c r="K394" s="63"/>
      <c r="L394" s="63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63"/>
      <c r="K395" s="63"/>
      <c r="L395" s="63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63"/>
      <c r="K396" s="63"/>
      <c r="L396" s="63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63"/>
      <c r="K397" s="63"/>
      <c r="L397" s="63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63"/>
      <c r="K398" s="63"/>
      <c r="L398" s="63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63"/>
      <c r="K399" s="63"/>
      <c r="L399" s="63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63"/>
      <c r="K400" s="63"/>
      <c r="L400" s="63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63"/>
      <c r="K401" s="63"/>
      <c r="L401" s="63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63"/>
      <c r="K402" s="63"/>
      <c r="L402" s="63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63"/>
      <c r="K403" s="63"/>
      <c r="L403" s="63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63"/>
      <c r="K404" s="63"/>
      <c r="L404" s="63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63"/>
      <c r="K405" s="63"/>
      <c r="L405" s="63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63"/>
      <c r="K406" s="63"/>
      <c r="L406" s="63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63"/>
      <c r="K407" s="63"/>
      <c r="L407" s="63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63"/>
      <c r="K408" s="63"/>
      <c r="L408" s="63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63"/>
      <c r="K409" s="63"/>
      <c r="L409" s="63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63"/>
      <c r="K410" s="63"/>
      <c r="L410" s="63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63"/>
      <c r="K411" s="63"/>
      <c r="L411" s="63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63"/>
      <c r="K412" s="63"/>
      <c r="L412" s="63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63"/>
      <c r="K413" s="63"/>
      <c r="L413" s="63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63"/>
      <c r="K414" s="63"/>
      <c r="L414" s="63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63"/>
      <c r="K415" s="63"/>
      <c r="L415" s="63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63"/>
      <c r="K416" s="63"/>
      <c r="L416" s="63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63"/>
      <c r="K417" s="63"/>
      <c r="L417" s="63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63"/>
      <c r="K418" s="63"/>
      <c r="L418" s="63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63"/>
      <c r="K419" s="63"/>
      <c r="L419" s="63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63"/>
      <c r="K420" s="63"/>
      <c r="L420" s="63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63"/>
      <c r="K421" s="63"/>
      <c r="L421" s="63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63"/>
      <c r="K422" s="63"/>
      <c r="L422" s="63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63"/>
      <c r="K423" s="63"/>
      <c r="L423" s="63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63"/>
      <c r="K424" s="63"/>
      <c r="L424" s="63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63"/>
      <c r="K425" s="63"/>
      <c r="L425" s="63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63"/>
      <c r="K426" s="63"/>
      <c r="L426" s="63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63"/>
      <c r="K427" s="63"/>
      <c r="L427" s="63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63"/>
      <c r="K428" s="63"/>
      <c r="L428" s="63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63"/>
      <c r="K429" s="63"/>
      <c r="L429" s="63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63"/>
      <c r="K430" s="63"/>
      <c r="L430" s="63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63"/>
      <c r="K431" s="63"/>
      <c r="L431" s="63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63"/>
      <c r="K432" s="63"/>
      <c r="L432" s="63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63"/>
      <c r="K433" s="63"/>
      <c r="L433" s="63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63"/>
      <c r="K434" s="63"/>
      <c r="L434" s="63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63"/>
      <c r="K435" s="63"/>
      <c r="L435" s="63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63"/>
      <c r="K436" s="63"/>
      <c r="L436" s="63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63"/>
      <c r="K437" s="63"/>
      <c r="L437" s="63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63"/>
      <c r="K438" s="63"/>
      <c r="L438" s="63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63"/>
      <c r="K439" s="63"/>
      <c r="L439" s="63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63"/>
      <c r="K440" s="63"/>
      <c r="L440" s="63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63"/>
      <c r="K441" s="63"/>
      <c r="L441" s="63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63"/>
      <c r="K442" s="63"/>
      <c r="L442" s="63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63"/>
      <c r="K443" s="63"/>
      <c r="L443" s="63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63"/>
      <c r="K444" s="63"/>
      <c r="L444" s="63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63"/>
      <c r="K445" s="63"/>
      <c r="L445" s="63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63"/>
      <c r="K446" s="63"/>
      <c r="L446" s="63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63"/>
      <c r="K447" s="63"/>
      <c r="L447" s="63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63"/>
      <c r="K448" s="63"/>
      <c r="L448" s="63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63"/>
      <c r="K449" s="63"/>
      <c r="L449" s="63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63"/>
      <c r="K450" s="63"/>
      <c r="L450" s="63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63"/>
      <c r="K451" s="63"/>
      <c r="L451" s="63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63"/>
      <c r="K452" s="63"/>
      <c r="L452" s="63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63"/>
      <c r="K453" s="63"/>
      <c r="L453" s="63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63"/>
      <c r="K454" s="63"/>
      <c r="L454" s="63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63"/>
      <c r="K455" s="63"/>
      <c r="L455" s="63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63"/>
      <c r="K456" s="63"/>
      <c r="L456" s="63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63"/>
      <c r="K457" s="63"/>
      <c r="L457" s="63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63"/>
      <c r="K458" s="63"/>
      <c r="L458" s="63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63"/>
      <c r="K459" s="63"/>
      <c r="L459" s="63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63"/>
      <c r="K460" s="63"/>
      <c r="L460" s="63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63"/>
      <c r="K461" s="63"/>
      <c r="L461" s="63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63"/>
      <c r="K462" s="63"/>
      <c r="L462" s="63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63"/>
      <c r="K463" s="63"/>
      <c r="L463" s="63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63"/>
      <c r="K464" s="63"/>
      <c r="L464" s="63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63"/>
      <c r="K465" s="63"/>
      <c r="L465" s="63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63"/>
      <c r="K466" s="63"/>
      <c r="L466" s="63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63"/>
      <c r="K467" s="63"/>
      <c r="L467" s="63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63"/>
      <c r="K468" s="63"/>
      <c r="L468" s="63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63"/>
      <c r="K469" s="63"/>
      <c r="L469" s="63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63"/>
      <c r="K470" s="63"/>
      <c r="L470" s="63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63"/>
      <c r="K471" s="63"/>
      <c r="L471" s="63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63"/>
      <c r="K472" s="63"/>
      <c r="L472" s="63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63"/>
      <c r="K473" s="63"/>
      <c r="L473" s="63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63"/>
      <c r="K474" s="63"/>
      <c r="L474" s="63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63"/>
      <c r="K475" s="63"/>
      <c r="L475" s="63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63"/>
      <c r="K476" s="63"/>
      <c r="L476" s="63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63"/>
      <c r="K477" s="63"/>
      <c r="L477" s="63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63"/>
      <c r="K478" s="63"/>
      <c r="L478" s="63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63"/>
      <c r="K479" s="63"/>
      <c r="L479" s="63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63"/>
      <c r="K480" s="63"/>
      <c r="L480" s="63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63"/>
      <c r="K481" s="63"/>
      <c r="L481" s="63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63"/>
      <c r="K482" s="63"/>
      <c r="L482" s="63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63"/>
      <c r="K483" s="63"/>
      <c r="L483" s="63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63"/>
      <c r="K484" s="63"/>
      <c r="L484" s="63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63"/>
      <c r="K485" s="63"/>
      <c r="L485" s="63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63"/>
      <c r="K486" s="63"/>
      <c r="L486" s="63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63"/>
      <c r="K487" s="63"/>
      <c r="L487" s="63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63"/>
      <c r="K488" s="63"/>
      <c r="L488" s="63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63"/>
      <c r="K489" s="63"/>
      <c r="L489" s="63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63"/>
      <c r="K490" s="63"/>
      <c r="L490" s="63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63"/>
      <c r="K491" s="63"/>
      <c r="L491" s="63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63"/>
      <c r="K492" s="63"/>
      <c r="L492" s="63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63"/>
      <c r="K493" s="63"/>
      <c r="L493" s="63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63"/>
      <c r="K494" s="63"/>
      <c r="L494" s="63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63"/>
      <c r="K495" s="63"/>
      <c r="L495" s="63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63"/>
      <c r="K496" s="63"/>
      <c r="L496" s="63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63"/>
      <c r="K497" s="63"/>
      <c r="L497" s="63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63"/>
      <c r="K498" s="63"/>
      <c r="L498" s="63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63"/>
      <c r="K499" s="63"/>
      <c r="L499" s="63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63"/>
      <c r="K500" s="63"/>
      <c r="L500" s="63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63"/>
      <c r="K501" s="63"/>
      <c r="L501" s="63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63"/>
      <c r="K502" s="63"/>
      <c r="L502" s="63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63"/>
      <c r="K503" s="63"/>
      <c r="L503" s="63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63"/>
      <c r="K504" s="63"/>
      <c r="L504" s="63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63"/>
      <c r="K505" s="63"/>
      <c r="L505" s="63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63"/>
      <c r="K506" s="63"/>
      <c r="L506" s="63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63"/>
      <c r="K507" s="63"/>
      <c r="L507" s="63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63"/>
      <c r="K508" s="63"/>
      <c r="L508" s="63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63"/>
      <c r="K509" s="63"/>
      <c r="L509" s="63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63"/>
      <c r="K510" s="63"/>
      <c r="L510" s="63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63"/>
      <c r="K511" s="63"/>
      <c r="L511" s="63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63"/>
      <c r="K512" s="63"/>
      <c r="L512" s="63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63"/>
      <c r="K513" s="63"/>
      <c r="L513" s="63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63"/>
      <c r="K514" s="63"/>
      <c r="L514" s="63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63"/>
      <c r="K515" s="63"/>
      <c r="L515" s="63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63"/>
      <c r="K516" s="63"/>
      <c r="L516" s="63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63"/>
      <c r="K517" s="63"/>
      <c r="L517" s="63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63"/>
      <c r="K518" s="63"/>
      <c r="L518" s="63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63"/>
      <c r="K519" s="63"/>
      <c r="L519" s="63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63"/>
      <c r="K520" s="63"/>
      <c r="L520" s="63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63"/>
      <c r="K521" s="63"/>
      <c r="L521" s="63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63"/>
      <c r="K522" s="63"/>
      <c r="L522" s="63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63"/>
      <c r="K523" s="63"/>
      <c r="L523" s="63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63"/>
      <c r="K524" s="63"/>
      <c r="L524" s="63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63"/>
      <c r="K525" s="63"/>
      <c r="L525" s="63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63"/>
      <c r="K526" s="63"/>
      <c r="L526" s="63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63"/>
      <c r="K527" s="63"/>
      <c r="L527" s="63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63"/>
      <c r="K528" s="63"/>
      <c r="L528" s="63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63"/>
      <c r="K529" s="63"/>
      <c r="L529" s="63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63"/>
      <c r="K530" s="63"/>
      <c r="L530" s="63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63"/>
      <c r="K531" s="63"/>
      <c r="L531" s="63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63"/>
      <c r="K532" s="63"/>
      <c r="L532" s="63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63"/>
      <c r="K533" s="63"/>
      <c r="L533" s="63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63"/>
      <c r="K534" s="63"/>
      <c r="L534" s="63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63"/>
      <c r="K535" s="63"/>
      <c r="L535" s="63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63"/>
      <c r="K536" s="63"/>
      <c r="L536" s="63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63"/>
      <c r="K537" s="63"/>
      <c r="L537" s="63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63"/>
      <c r="K538" s="63"/>
      <c r="L538" s="63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63"/>
      <c r="K539" s="63"/>
      <c r="L539" s="63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63"/>
      <c r="K540" s="63"/>
      <c r="L540" s="63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63"/>
      <c r="K541" s="63"/>
      <c r="L541" s="63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63"/>
      <c r="K542" s="63"/>
      <c r="L542" s="63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63"/>
      <c r="K543" s="63"/>
      <c r="L543" s="63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63"/>
      <c r="K544" s="63"/>
      <c r="L544" s="63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63"/>
      <c r="K545" s="63"/>
      <c r="L545" s="63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63"/>
      <c r="K546" s="63"/>
      <c r="L546" s="63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63"/>
      <c r="K547" s="63"/>
      <c r="L547" s="63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63"/>
      <c r="K548" s="63"/>
      <c r="L548" s="63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63"/>
      <c r="K549" s="63"/>
      <c r="L549" s="63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63"/>
      <c r="K550" s="63"/>
      <c r="L550" s="63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63"/>
      <c r="K551" s="63"/>
      <c r="L551" s="63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63"/>
      <c r="K552" s="63"/>
      <c r="L552" s="63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63"/>
      <c r="K553" s="63"/>
      <c r="L553" s="63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63"/>
      <c r="K554" s="63"/>
      <c r="L554" s="63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63"/>
      <c r="K555" s="63"/>
      <c r="L555" s="63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63"/>
      <c r="K556" s="63"/>
      <c r="L556" s="63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63"/>
      <c r="K557" s="63"/>
      <c r="L557" s="63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63"/>
      <c r="K558" s="63"/>
      <c r="L558" s="63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63"/>
      <c r="K559" s="63"/>
      <c r="L559" s="63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63"/>
      <c r="K560" s="63"/>
      <c r="L560" s="63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63"/>
      <c r="K561" s="63"/>
      <c r="L561" s="63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63"/>
      <c r="K562" s="63"/>
      <c r="L562" s="63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63"/>
      <c r="K563" s="63"/>
      <c r="L563" s="63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63"/>
      <c r="K564" s="63"/>
      <c r="L564" s="63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63"/>
      <c r="K565" s="63"/>
      <c r="L565" s="63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63"/>
      <c r="K566" s="63"/>
      <c r="L566" s="63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63"/>
      <c r="K567" s="63"/>
      <c r="L567" s="63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63"/>
      <c r="K568" s="63"/>
      <c r="L568" s="63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63"/>
      <c r="K569" s="63"/>
      <c r="L569" s="63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63"/>
      <c r="K570" s="63"/>
      <c r="L570" s="63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63"/>
      <c r="K571" s="63"/>
      <c r="L571" s="63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63"/>
      <c r="K572" s="63"/>
      <c r="L572" s="63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63"/>
      <c r="K573" s="63"/>
      <c r="L573" s="63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63"/>
      <c r="K574" s="63"/>
      <c r="L574" s="63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63"/>
      <c r="K575" s="63"/>
      <c r="L575" s="63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63"/>
      <c r="K576" s="63"/>
      <c r="L576" s="63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63"/>
      <c r="K577" s="63"/>
      <c r="L577" s="63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63"/>
      <c r="K578" s="63"/>
      <c r="L578" s="63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63"/>
      <c r="K579" s="63"/>
      <c r="L579" s="63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63"/>
      <c r="K580" s="63"/>
      <c r="L580" s="63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63"/>
      <c r="K581" s="63"/>
      <c r="L581" s="63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63"/>
      <c r="K582" s="63"/>
      <c r="L582" s="63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63"/>
      <c r="K583" s="63"/>
      <c r="L583" s="63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63"/>
      <c r="K584" s="63"/>
      <c r="L584" s="63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63"/>
      <c r="K585" s="63"/>
      <c r="L585" s="63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63"/>
      <c r="K586" s="63"/>
      <c r="L586" s="63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63"/>
      <c r="K587" s="63"/>
      <c r="L587" s="63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63"/>
      <c r="K588" s="63"/>
      <c r="L588" s="63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63"/>
      <c r="K589" s="63"/>
      <c r="L589" s="63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63"/>
      <c r="K590" s="63"/>
      <c r="L590" s="63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63"/>
      <c r="K591" s="63"/>
      <c r="L591" s="63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63"/>
      <c r="K592" s="63"/>
      <c r="L592" s="63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63"/>
      <c r="K593" s="63"/>
      <c r="L593" s="63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63"/>
      <c r="K594" s="63"/>
      <c r="L594" s="63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63"/>
      <c r="K595" s="63"/>
      <c r="L595" s="63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63"/>
      <c r="K596" s="63"/>
      <c r="L596" s="63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63"/>
      <c r="K597" s="63"/>
      <c r="L597" s="63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63"/>
      <c r="K598" s="63"/>
      <c r="L598" s="63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63"/>
      <c r="K599" s="63"/>
      <c r="L599" s="63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63"/>
      <c r="K600" s="63"/>
      <c r="L600" s="63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63"/>
      <c r="K601" s="63"/>
      <c r="L601" s="63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63"/>
      <c r="K602" s="63"/>
      <c r="L602" s="63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63"/>
      <c r="K603" s="63"/>
      <c r="L603" s="63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63"/>
      <c r="K604" s="63"/>
      <c r="L604" s="63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63"/>
      <c r="K605" s="63"/>
      <c r="L605" s="63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63"/>
      <c r="K606" s="63"/>
      <c r="L606" s="63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63"/>
      <c r="K607" s="63"/>
      <c r="L607" s="63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63"/>
      <c r="K608" s="63"/>
      <c r="L608" s="63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63"/>
      <c r="K609" s="63"/>
      <c r="L609" s="63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63"/>
      <c r="K610" s="63"/>
      <c r="L610" s="63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63"/>
      <c r="K611" s="63"/>
      <c r="L611" s="63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63"/>
      <c r="K612" s="63"/>
      <c r="L612" s="63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63"/>
      <c r="K613" s="63"/>
      <c r="L613" s="63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63"/>
      <c r="K614" s="63"/>
      <c r="L614" s="63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63"/>
      <c r="K615" s="63"/>
      <c r="L615" s="63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63"/>
      <c r="K616" s="63"/>
      <c r="L616" s="63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63"/>
      <c r="K617" s="63"/>
      <c r="L617" s="63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63"/>
      <c r="K618" s="63"/>
      <c r="L618" s="63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63"/>
      <c r="K619" s="63"/>
      <c r="L619" s="63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63"/>
      <c r="K620" s="63"/>
      <c r="L620" s="63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63"/>
      <c r="K621" s="63"/>
      <c r="L621" s="63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63"/>
      <c r="K622" s="63"/>
      <c r="L622" s="63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63"/>
      <c r="K623" s="63"/>
      <c r="L623" s="63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63"/>
      <c r="K624" s="63"/>
      <c r="L624" s="63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63"/>
      <c r="K625" s="63"/>
      <c r="L625" s="63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63"/>
      <c r="K626" s="63"/>
      <c r="L626" s="63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63"/>
      <c r="K627" s="63"/>
      <c r="L627" s="63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63"/>
      <c r="K628" s="63"/>
      <c r="L628" s="63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63"/>
      <c r="K629" s="63"/>
      <c r="L629" s="63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63"/>
      <c r="K630" s="63"/>
      <c r="L630" s="63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63"/>
      <c r="K631" s="63"/>
      <c r="L631" s="63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63"/>
      <c r="K632" s="63"/>
      <c r="L632" s="63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63"/>
      <c r="K633" s="63"/>
      <c r="L633" s="63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63"/>
      <c r="K634" s="63"/>
      <c r="L634" s="63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63"/>
      <c r="K635" s="63"/>
      <c r="L635" s="63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63"/>
      <c r="K636" s="63"/>
      <c r="L636" s="63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63"/>
      <c r="K637" s="63"/>
      <c r="L637" s="63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63"/>
      <c r="K638" s="63"/>
      <c r="L638" s="63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63"/>
      <c r="K639" s="63"/>
      <c r="L639" s="63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63"/>
      <c r="K640" s="63"/>
      <c r="L640" s="63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63"/>
      <c r="K641" s="63"/>
      <c r="L641" s="63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63"/>
      <c r="K642" s="63"/>
      <c r="L642" s="63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63"/>
      <c r="K643" s="63"/>
      <c r="L643" s="63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63"/>
      <c r="K644" s="63"/>
      <c r="L644" s="63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63"/>
      <c r="K645" s="63"/>
      <c r="L645" s="63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63"/>
      <c r="K646" s="63"/>
      <c r="L646" s="63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63"/>
      <c r="K647" s="63"/>
      <c r="L647" s="63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63"/>
      <c r="K648" s="63"/>
      <c r="L648" s="63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63"/>
      <c r="K649" s="63"/>
      <c r="L649" s="63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63"/>
      <c r="K650" s="63"/>
      <c r="L650" s="63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63"/>
      <c r="K651" s="63"/>
      <c r="L651" s="63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63"/>
      <c r="K652" s="63"/>
      <c r="L652" s="63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63"/>
      <c r="K653" s="63"/>
      <c r="L653" s="63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63"/>
      <c r="K654" s="63"/>
      <c r="L654" s="63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63"/>
      <c r="K655" s="63"/>
      <c r="L655" s="63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63"/>
      <c r="K656" s="63"/>
      <c r="L656" s="63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63"/>
      <c r="K657" s="63"/>
      <c r="L657" s="63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63"/>
      <c r="K658" s="63"/>
      <c r="L658" s="63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63"/>
      <c r="K659" s="63"/>
      <c r="L659" s="63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63"/>
      <c r="K660" s="63"/>
      <c r="L660" s="63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63"/>
      <c r="K661" s="63"/>
      <c r="L661" s="63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63"/>
      <c r="K662" s="63"/>
      <c r="L662" s="63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63"/>
      <c r="K663" s="63"/>
      <c r="L663" s="63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63"/>
      <c r="K664" s="63"/>
      <c r="L664" s="63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63"/>
      <c r="K665" s="63"/>
      <c r="L665" s="63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63"/>
      <c r="K666" s="63"/>
      <c r="L666" s="63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63"/>
      <c r="K667" s="63"/>
      <c r="L667" s="63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63"/>
      <c r="K668" s="63"/>
      <c r="L668" s="63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63"/>
      <c r="K669" s="63"/>
      <c r="L669" s="63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63"/>
      <c r="K670" s="63"/>
      <c r="L670" s="63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63"/>
      <c r="K671" s="63"/>
      <c r="L671" s="63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63"/>
      <c r="K672" s="63"/>
      <c r="L672" s="63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63"/>
      <c r="K673" s="63"/>
      <c r="L673" s="63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63"/>
      <c r="K674" s="63"/>
      <c r="L674" s="63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63"/>
      <c r="K675" s="63"/>
      <c r="L675" s="63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63"/>
      <c r="K676" s="63"/>
      <c r="L676" s="63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63"/>
      <c r="K677" s="63"/>
      <c r="L677" s="63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63"/>
      <c r="K678" s="63"/>
      <c r="L678" s="63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63"/>
      <c r="K679" s="63"/>
      <c r="L679" s="63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63"/>
      <c r="K680" s="63"/>
      <c r="L680" s="63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63"/>
      <c r="K681" s="63"/>
      <c r="L681" s="63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63"/>
      <c r="K682" s="63"/>
      <c r="L682" s="63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63"/>
      <c r="K683" s="63"/>
      <c r="L683" s="63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63"/>
      <c r="K684" s="63"/>
      <c r="L684" s="63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63"/>
      <c r="K685" s="63"/>
      <c r="L685" s="63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63"/>
      <c r="K686" s="63"/>
      <c r="L686" s="63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63"/>
      <c r="K687" s="63"/>
      <c r="L687" s="63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63"/>
      <c r="K688" s="63"/>
      <c r="L688" s="63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63"/>
      <c r="K689" s="63"/>
      <c r="L689" s="63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63"/>
      <c r="K690" s="63"/>
      <c r="L690" s="63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63"/>
      <c r="K691" s="63"/>
      <c r="L691" s="63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63"/>
      <c r="K692" s="63"/>
      <c r="L692" s="63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63"/>
      <c r="K693" s="63"/>
      <c r="L693" s="63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63"/>
      <c r="K694" s="63"/>
      <c r="L694" s="63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63"/>
      <c r="K695" s="63"/>
      <c r="L695" s="63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63"/>
      <c r="K696" s="63"/>
      <c r="L696" s="63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63"/>
      <c r="K697" s="63"/>
      <c r="L697" s="63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63"/>
      <c r="K698" s="63"/>
      <c r="L698" s="63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63"/>
      <c r="K699" s="63"/>
      <c r="L699" s="63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63"/>
      <c r="K700" s="63"/>
      <c r="L700" s="63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63"/>
      <c r="K701" s="63"/>
      <c r="L701" s="63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63"/>
      <c r="K702" s="63"/>
      <c r="L702" s="63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63"/>
      <c r="K703" s="63"/>
      <c r="L703" s="63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63"/>
      <c r="K704" s="63"/>
      <c r="L704" s="63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63"/>
      <c r="K705" s="63"/>
      <c r="L705" s="63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63"/>
      <c r="K706" s="63"/>
      <c r="L706" s="63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63"/>
      <c r="K707" s="63"/>
      <c r="L707" s="63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63"/>
      <c r="K708" s="63"/>
      <c r="L708" s="63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63"/>
      <c r="K709" s="63"/>
      <c r="L709" s="63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63"/>
      <c r="K710" s="63"/>
      <c r="L710" s="63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63"/>
      <c r="K711" s="63"/>
      <c r="L711" s="63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63"/>
      <c r="K712" s="63"/>
      <c r="L712" s="63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63"/>
      <c r="K713" s="63"/>
      <c r="L713" s="63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63"/>
      <c r="K714" s="63"/>
      <c r="L714" s="63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63"/>
      <c r="K715" s="63"/>
      <c r="L715" s="63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63"/>
      <c r="K716" s="63"/>
      <c r="L716" s="63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63"/>
      <c r="K717" s="63"/>
      <c r="L717" s="63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63"/>
      <c r="K718" s="63"/>
      <c r="L718" s="63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63"/>
      <c r="K719" s="63"/>
      <c r="L719" s="63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63"/>
      <c r="K720" s="63"/>
      <c r="L720" s="63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63"/>
      <c r="K721" s="63"/>
      <c r="L721" s="63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63"/>
      <c r="K722" s="63"/>
      <c r="L722" s="63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63"/>
      <c r="K723" s="63"/>
      <c r="L723" s="63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63"/>
      <c r="K724" s="63"/>
      <c r="L724" s="63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63"/>
      <c r="K725" s="63"/>
      <c r="L725" s="63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63"/>
      <c r="K726" s="63"/>
      <c r="L726" s="63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63"/>
      <c r="K727" s="63"/>
      <c r="L727" s="63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63"/>
      <c r="K728" s="63"/>
      <c r="L728" s="63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63"/>
      <c r="K729" s="63"/>
      <c r="L729" s="63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63"/>
      <c r="K730" s="63"/>
      <c r="L730" s="63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63"/>
      <c r="K731" s="63"/>
      <c r="L731" s="63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63"/>
      <c r="K732" s="63"/>
      <c r="L732" s="63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63"/>
      <c r="K733" s="63"/>
      <c r="L733" s="63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63"/>
      <c r="K734" s="63"/>
      <c r="L734" s="63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63"/>
      <c r="K735" s="63"/>
      <c r="L735" s="63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63"/>
      <c r="K736" s="63"/>
      <c r="L736" s="63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63"/>
      <c r="K737" s="63"/>
      <c r="L737" s="63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63"/>
      <c r="K738" s="63"/>
      <c r="L738" s="63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63"/>
      <c r="K739" s="63"/>
      <c r="L739" s="63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63"/>
      <c r="K740" s="63"/>
      <c r="L740" s="63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63"/>
      <c r="K741" s="63"/>
      <c r="L741" s="63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63"/>
      <c r="K742" s="63"/>
      <c r="L742" s="63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63"/>
      <c r="K743" s="63"/>
      <c r="L743" s="63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63"/>
      <c r="K744" s="63"/>
      <c r="L744" s="63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63"/>
      <c r="K745" s="63"/>
      <c r="L745" s="63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63"/>
      <c r="K746" s="63"/>
      <c r="L746" s="63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63"/>
      <c r="K747" s="63"/>
      <c r="L747" s="63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63"/>
      <c r="K748" s="63"/>
      <c r="L748" s="63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63"/>
      <c r="K749" s="63"/>
      <c r="L749" s="63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63"/>
      <c r="K750" s="63"/>
      <c r="L750" s="63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63"/>
      <c r="K751" s="63"/>
      <c r="L751" s="63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63"/>
      <c r="K752" s="63"/>
      <c r="L752" s="63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63"/>
      <c r="K753" s="63"/>
      <c r="L753" s="63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63"/>
      <c r="K754" s="63"/>
      <c r="L754" s="63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63"/>
      <c r="K755" s="63"/>
      <c r="L755" s="63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63"/>
      <c r="K756" s="63"/>
      <c r="L756" s="63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63"/>
      <c r="K757" s="63"/>
      <c r="L757" s="63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63"/>
      <c r="K758" s="63"/>
      <c r="L758" s="63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63"/>
      <c r="K759" s="63"/>
      <c r="L759" s="63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63"/>
      <c r="K760" s="63"/>
      <c r="L760" s="63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63"/>
      <c r="K761" s="63"/>
      <c r="L761" s="63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63"/>
      <c r="K762" s="63"/>
      <c r="L762" s="63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63"/>
      <c r="K763" s="63"/>
      <c r="L763" s="63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63"/>
      <c r="K764" s="63"/>
      <c r="L764" s="63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63"/>
      <c r="K765" s="63"/>
      <c r="L765" s="63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63"/>
      <c r="K766" s="63"/>
      <c r="L766" s="63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63"/>
      <c r="K767" s="63"/>
      <c r="L767" s="63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63"/>
      <c r="K768" s="63"/>
      <c r="L768" s="63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63"/>
      <c r="K769" s="63"/>
      <c r="L769" s="63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63"/>
      <c r="K770" s="63"/>
      <c r="L770" s="63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63"/>
      <c r="K771" s="63"/>
      <c r="L771" s="63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63"/>
      <c r="K772" s="63"/>
      <c r="L772" s="63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63"/>
      <c r="K773" s="63"/>
      <c r="L773" s="63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63"/>
      <c r="K774" s="63"/>
      <c r="L774" s="63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63"/>
      <c r="K775" s="63"/>
      <c r="L775" s="63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63"/>
      <c r="K776" s="63"/>
      <c r="L776" s="63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63"/>
      <c r="K777" s="63"/>
      <c r="L777" s="63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63"/>
      <c r="K778" s="63"/>
      <c r="L778" s="63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63"/>
      <c r="K779" s="63"/>
      <c r="L779" s="63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63"/>
      <c r="K780" s="63"/>
      <c r="L780" s="63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63"/>
      <c r="K781" s="63"/>
      <c r="L781" s="63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63"/>
      <c r="K782" s="63"/>
      <c r="L782" s="63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63"/>
      <c r="K783" s="63"/>
      <c r="L783" s="63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63"/>
      <c r="K784" s="63"/>
      <c r="L784" s="63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63"/>
      <c r="K785" s="63"/>
      <c r="L785" s="63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63"/>
      <c r="K786" s="63"/>
      <c r="L786" s="63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63"/>
      <c r="K787" s="63"/>
      <c r="L787" s="63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63"/>
      <c r="K788" s="63"/>
      <c r="L788" s="63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63"/>
      <c r="K789" s="63"/>
      <c r="L789" s="63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63"/>
      <c r="K790" s="63"/>
      <c r="L790" s="63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63"/>
      <c r="K791" s="63"/>
      <c r="L791" s="63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63"/>
      <c r="K792" s="63"/>
      <c r="L792" s="63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63"/>
      <c r="K793" s="63"/>
      <c r="L793" s="63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63"/>
      <c r="K794" s="63"/>
      <c r="L794" s="63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63"/>
      <c r="K795" s="63"/>
      <c r="L795" s="63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63"/>
      <c r="K796" s="63"/>
      <c r="L796" s="63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63"/>
      <c r="K797" s="63"/>
      <c r="L797" s="63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63"/>
      <c r="K798" s="63"/>
      <c r="L798" s="63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63"/>
      <c r="K799" s="63"/>
      <c r="L799" s="63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63"/>
      <c r="K800" s="63"/>
      <c r="L800" s="63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63"/>
      <c r="K801" s="63"/>
      <c r="L801" s="63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63"/>
      <c r="K802" s="63"/>
      <c r="L802" s="63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63"/>
      <c r="K803" s="63"/>
      <c r="L803" s="63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63"/>
      <c r="K804" s="63"/>
      <c r="L804" s="63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63"/>
      <c r="K805" s="63"/>
      <c r="L805" s="63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63"/>
      <c r="K806" s="63"/>
      <c r="L806" s="63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63"/>
      <c r="K807" s="63"/>
      <c r="L807" s="63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63"/>
      <c r="K808" s="63"/>
      <c r="L808" s="63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63"/>
      <c r="K809" s="63"/>
      <c r="L809" s="63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63"/>
      <c r="K810" s="63"/>
      <c r="L810" s="63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63"/>
      <c r="K811" s="63"/>
      <c r="L811" s="63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63"/>
      <c r="K812" s="63"/>
      <c r="L812" s="63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63"/>
      <c r="K813" s="63"/>
      <c r="L813" s="63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63"/>
      <c r="K814" s="63"/>
      <c r="L814" s="63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63"/>
      <c r="K815" s="63"/>
      <c r="L815" s="63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63"/>
      <c r="K816" s="63"/>
      <c r="L816" s="63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63"/>
      <c r="K817" s="63"/>
      <c r="L817" s="63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63"/>
      <c r="K818" s="63"/>
      <c r="L818" s="63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63"/>
      <c r="K819" s="63"/>
      <c r="L819" s="63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63"/>
      <c r="K820" s="63"/>
      <c r="L820" s="63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63"/>
      <c r="K821" s="63"/>
      <c r="L821" s="63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63"/>
      <c r="K822" s="63"/>
      <c r="L822" s="63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63"/>
      <c r="K823" s="63"/>
      <c r="L823" s="63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63"/>
      <c r="K824" s="63"/>
      <c r="L824" s="63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63"/>
      <c r="K825" s="63"/>
      <c r="L825" s="63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63"/>
      <c r="K826" s="63"/>
      <c r="L826" s="63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63"/>
      <c r="K827" s="63"/>
      <c r="L827" s="63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63"/>
      <c r="K828" s="63"/>
      <c r="L828" s="63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63"/>
      <c r="K829" s="63"/>
      <c r="L829" s="63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63"/>
      <c r="K830" s="63"/>
      <c r="L830" s="63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63"/>
      <c r="K831" s="63"/>
      <c r="L831" s="63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63"/>
      <c r="K832" s="63"/>
      <c r="L832" s="63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63"/>
      <c r="K833" s="63"/>
      <c r="L833" s="63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63"/>
      <c r="K834" s="63"/>
      <c r="L834" s="63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63"/>
      <c r="K835" s="63"/>
      <c r="L835" s="63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63"/>
      <c r="K836" s="63"/>
      <c r="L836" s="63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63"/>
      <c r="K837" s="63"/>
      <c r="L837" s="63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63"/>
      <c r="K838" s="63"/>
      <c r="L838" s="63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63"/>
      <c r="K839" s="63"/>
      <c r="L839" s="63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63"/>
      <c r="K840" s="63"/>
      <c r="L840" s="63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63"/>
      <c r="K841" s="63"/>
      <c r="L841" s="63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63"/>
      <c r="K842" s="63"/>
      <c r="L842" s="63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63"/>
      <c r="K843" s="63"/>
      <c r="L843" s="63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63"/>
      <c r="K844" s="63"/>
      <c r="L844" s="63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63"/>
      <c r="K845" s="63"/>
      <c r="L845" s="63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63"/>
      <c r="K846" s="63"/>
      <c r="L846" s="63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63"/>
      <c r="K847" s="63"/>
      <c r="L847" s="63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63"/>
      <c r="K848" s="63"/>
      <c r="L848" s="63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63"/>
      <c r="K849" s="63"/>
      <c r="L849" s="63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63"/>
      <c r="K850" s="63"/>
      <c r="L850" s="63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63"/>
      <c r="K851" s="63"/>
      <c r="L851" s="63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63"/>
      <c r="K852" s="63"/>
      <c r="L852" s="63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63"/>
      <c r="K853" s="63"/>
      <c r="L853" s="63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63"/>
      <c r="K854" s="63"/>
      <c r="L854" s="63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63"/>
      <c r="K855" s="63"/>
      <c r="L855" s="63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63"/>
      <c r="K856" s="63"/>
      <c r="L856" s="63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63"/>
      <c r="K857" s="63"/>
      <c r="L857" s="63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63"/>
      <c r="K858" s="63"/>
      <c r="L858" s="63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63"/>
      <c r="K859" s="63"/>
      <c r="L859" s="63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63"/>
      <c r="K860" s="63"/>
      <c r="L860" s="63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63"/>
      <c r="K861" s="63"/>
      <c r="L861" s="63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63"/>
      <c r="K862" s="63"/>
      <c r="L862" s="63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63"/>
      <c r="K863" s="63"/>
      <c r="L863" s="63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63"/>
      <c r="K864" s="63"/>
      <c r="L864" s="63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63"/>
      <c r="K865" s="63"/>
      <c r="L865" s="63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63"/>
      <c r="K866" s="63"/>
      <c r="L866" s="63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63"/>
      <c r="K867" s="63"/>
      <c r="L867" s="63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63"/>
      <c r="K868" s="63"/>
      <c r="L868" s="63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63"/>
      <c r="K869" s="63"/>
      <c r="L869" s="63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63"/>
      <c r="K870" s="63"/>
      <c r="L870" s="63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63"/>
      <c r="K871" s="63"/>
      <c r="L871" s="63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63"/>
      <c r="K872" s="63"/>
      <c r="L872" s="63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63"/>
      <c r="K873" s="63"/>
      <c r="L873" s="63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63"/>
      <c r="K874" s="63"/>
      <c r="L874" s="63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63"/>
      <c r="K875" s="63"/>
      <c r="L875" s="63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63"/>
      <c r="K876" s="63"/>
      <c r="L876" s="63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63"/>
      <c r="K877" s="63"/>
      <c r="L877" s="63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63"/>
      <c r="K878" s="63"/>
      <c r="L878" s="63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63"/>
      <c r="K879" s="63"/>
      <c r="L879" s="63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63"/>
      <c r="K880" s="63"/>
      <c r="L880" s="63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63"/>
      <c r="K881" s="63"/>
      <c r="L881" s="63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63"/>
      <c r="K882" s="63"/>
      <c r="L882" s="63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63"/>
      <c r="K883" s="63"/>
      <c r="L883" s="63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63"/>
      <c r="K884" s="63"/>
      <c r="L884" s="63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63"/>
      <c r="K885" s="63"/>
      <c r="L885" s="63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63"/>
      <c r="K886" s="63"/>
      <c r="L886" s="63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63"/>
      <c r="K887" s="63"/>
      <c r="L887" s="63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63"/>
      <c r="K888" s="63"/>
      <c r="L888" s="63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63"/>
      <c r="K889" s="63"/>
      <c r="L889" s="63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63"/>
      <c r="K890" s="63"/>
      <c r="L890" s="63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63"/>
      <c r="K891" s="63"/>
      <c r="L891" s="63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63"/>
      <c r="K892" s="63"/>
      <c r="L892" s="63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63"/>
      <c r="K893" s="63"/>
      <c r="L893" s="63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63"/>
      <c r="K894" s="63"/>
      <c r="L894" s="63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63"/>
      <c r="K895" s="63"/>
      <c r="L895" s="63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63"/>
      <c r="K896" s="63"/>
      <c r="L896" s="63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63"/>
      <c r="K897" s="63"/>
      <c r="L897" s="63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63"/>
      <c r="K898" s="63"/>
      <c r="L898" s="63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63"/>
      <c r="K899" s="63"/>
      <c r="L899" s="63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63"/>
      <c r="K900" s="63"/>
      <c r="L900" s="63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63"/>
      <c r="K901" s="63"/>
      <c r="L901" s="63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63"/>
      <c r="K902" s="63"/>
      <c r="L902" s="63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63"/>
      <c r="K903" s="63"/>
      <c r="L903" s="63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63"/>
      <c r="K904" s="63"/>
      <c r="L904" s="63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63"/>
      <c r="K905" s="63"/>
      <c r="L905" s="63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63"/>
      <c r="K906" s="63"/>
      <c r="L906" s="63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63"/>
      <c r="K907" s="63"/>
      <c r="L907" s="63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63"/>
      <c r="K908" s="63"/>
      <c r="L908" s="63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63"/>
      <c r="K909" s="63"/>
      <c r="L909" s="63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63"/>
      <c r="K910" s="63"/>
      <c r="L910" s="63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63"/>
      <c r="K911" s="63"/>
      <c r="L911" s="63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63"/>
      <c r="K912" s="63"/>
      <c r="L912" s="63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63"/>
      <c r="K913" s="63"/>
      <c r="L913" s="63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63"/>
      <c r="K914" s="63"/>
      <c r="L914" s="63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63"/>
      <c r="K915" s="63"/>
      <c r="L915" s="63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63"/>
      <c r="K916" s="63"/>
      <c r="L916" s="63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63"/>
      <c r="K917" s="63"/>
      <c r="L917" s="63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63"/>
      <c r="K918" s="63"/>
      <c r="L918" s="63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63"/>
      <c r="K919" s="63"/>
      <c r="L919" s="63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63"/>
      <c r="K920" s="63"/>
      <c r="L920" s="63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63"/>
      <c r="K921" s="63"/>
      <c r="L921" s="63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63"/>
      <c r="K922" s="63"/>
      <c r="L922" s="63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63"/>
      <c r="K923" s="63"/>
      <c r="L923" s="63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63"/>
      <c r="K924" s="63"/>
      <c r="L924" s="63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63"/>
      <c r="K925" s="63"/>
      <c r="L925" s="63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63"/>
      <c r="K926" s="63"/>
      <c r="L926" s="63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63"/>
      <c r="K927" s="63"/>
      <c r="L927" s="63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63"/>
      <c r="K928" s="63"/>
      <c r="L928" s="63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63"/>
      <c r="K929" s="63"/>
      <c r="L929" s="63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63"/>
      <c r="K930" s="63"/>
      <c r="L930" s="63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63"/>
      <c r="K931" s="63"/>
      <c r="L931" s="63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63"/>
      <c r="K932" s="63"/>
      <c r="L932" s="63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63"/>
      <c r="K933" s="63"/>
      <c r="L933" s="63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63"/>
      <c r="K934" s="63"/>
      <c r="L934" s="63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63"/>
      <c r="K935" s="63"/>
      <c r="L935" s="63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63"/>
      <c r="K936" s="63"/>
      <c r="L936" s="63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63"/>
      <c r="K937" s="63"/>
      <c r="L937" s="63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63"/>
      <c r="K938" s="63"/>
      <c r="L938" s="63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63"/>
      <c r="K939" s="63"/>
      <c r="L939" s="63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63"/>
      <c r="K940" s="63"/>
      <c r="L940" s="63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63"/>
      <c r="K941" s="63"/>
      <c r="L941" s="63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63"/>
      <c r="K942" s="63"/>
      <c r="L942" s="63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63"/>
      <c r="K943" s="63"/>
      <c r="L943" s="63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63"/>
      <c r="K944" s="63"/>
      <c r="L944" s="63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63"/>
      <c r="K945" s="63"/>
      <c r="L945" s="63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63"/>
      <c r="K946" s="63"/>
      <c r="L946" s="63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63"/>
      <c r="K947" s="63"/>
      <c r="L947" s="63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63"/>
      <c r="K948" s="63"/>
      <c r="L948" s="63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63"/>
      <c r="K949" s="63"/>
      <c r="L949" s="63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63"/>
      <c r="K950" s="63"/>
      <c r="L950" s="63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63"/>
      <c r="K951" s="63"/>
      <c r="L951" s="63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63"/>
      <c r="K952" s="63"/>
      <c r="L952" s="63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63"/>
      <c r="K953" s="63"/>
      <c r="L953" s="63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63"/>
      <c r="K954" s="63"/>
      <c r="L954" s="63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63"/>
      <c r="K955" s="63"/>
      <c r="L955" s="63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63"/>
      <c r="K956" s="63"/>
      <c r="L956" s="63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63"/>
      <c r="K957" s="63"/>
      <c r="L957" s="63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63"/>
      <c r="K958" s="63"/>
      <c r="L958" s="63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63"/>
      <c r="K959" s="63"/>
      <c r="L959" s="63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63"/>
      <c r="K960" s="63"/>
      <c r="L960" s="63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63"/>
      <c r="K961" s="63"/>
      <c r="L961" s="63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63"/>
      <c r="K962" s="63"/>
      <c r="L962" s="63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63"/>
      <c r="K963" s="63"/>
      <c r="L963" s="63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63"/>
      <c r="K964" s="63"/>
      <c r="L964" s="63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63"/>
      <c r="K965" s="63"/>
      <c r="L965" s="63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63"/>
      <c r="K966" s="63"/>
      <c r="L966" s="63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63"/>
      <c r="K967" s="63"/>
      <c r="L967" s="63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63"/>
      <c r="K968" s="63"/>
      <c r="L968" s="63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63"/>
      <c r="K969" s="63"/>
      <c r="L969" s="63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63"/>
      <c r="K970" s="63"/>
      <c r="L970" s="63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63"/>
      <c r="K971" s="63"/>
      <c r="L971" s="63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63"/>
      <c r="K972" s="63"/>
      <c r="L972" s="63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63"/>
      <c r="K973" s="63"/>
      <c r="L973" s="63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63"/>
      <c r="K974" s="63"/>
      <c r="L974" s="63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63"/>
      <c r="K975" s="63"/>
      <c r="L975" s="63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63"/>
      <c r="K976" s="63"/>
      <c r="L976" s="63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63"/>
      <c r="K977" s="63"/>
      <c r="L977" s="63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63"/>
      <c r="K978" s="63"/>
      <c r="L978" s="63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63"/>
      <c r="K979" s="63"/>
      <c r="L979" s="63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63"/>
      <c r="K980" s="63"/>
      <c r="L980" s="63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63"/>
      <c r="K981" s="63"/>
      <c r="L981" s="63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63"/>
      <c r="K982" s="63"/>
      <c r="L982" s="63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63"/>
      <c r="K983" s="63"/>
      <c r="L983" s="63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63"/>
      <c r="K984" s="63"/>
      <c r="L984" s="63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63"/>
      <c r="K985" s="63"/>
      <c r="L985" s="63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63"/>
      <c r="K986" s="63"/>
      <c r="L986" s="63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63"/>
      <c r="K987" s="63"/>
      <c r="L987" s="63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63"/>
      <c r="K988" s="63"/>
      <c r="L988" s="63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63"/>
      <c r="K989" s="63"/>
      <c r="L989" s="63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63"/>
      <c r="K990" s="63"/>
      <c r="L990" s="63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63"/>
      <c r="K991" s="63"/>
      <c r="L991" s="63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63"/>
      <c r="K992" s="63"/>
      <c r="L992" s="63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63"/>
      <c r="K993" s="63"/>
      <c r="L993" s="63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63"/>
      <c r="K994" s="63"/>
      <c r="L994" s="63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63"/>
      <c r="K995" s="63"/>
      <c r="L995" s="63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63"/>
      <c r="K996" s="63"/>
      <c r="L996" s="63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63"/>
      <c r="K997" s="63"/>
      <c r="L997" s="63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63"/>
      <c r="K998" s="63"/>
      <c r="L998" s="63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63"/>
      <c r="K999" s="63"/>
      <c r="L999" s="63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63"/>
      <c r="K1000" s="63"/>
      <c r="L1000" s="63"/>
      <c r="M1000" s="3"/>
      <c r="N1000" s="3"/>
      <c r="O1000" s="3"/>
      <c r="Q1000" s="4"/>
      <c r="R1000" s="5"/>
      <c r="S1000" s="5"/>
    </row>
  </sheetData>
  <sheetProtection password="CC27" sheet="1" objects="1" scenarios="1"/>
  <mergeCells count="6">
    <mergeCell ref="D37:K37"/>
    <mergeCell ref="B2:S2"/>
    <mergeCell ref="M3:O3"/>
    <mergeCell ref="Q3:S3"/>
    <mergeCell ref="J4:L4"/>
    <mergeCell ref="D35:K35"/>
  </mergeCells>
  <pageMargins left="0.511811024" right="0.511811024" top="0.78740157499999996" bottom="0.7874015749999999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selection activeCell="E19" sqref="E19"/>
    </sheetView>
  </sheetViews>
  <sheetFormatPr defaultColWidth="14.42578125" defaultRowHeight="15" customHeight="1"/>
  <cols>
    <col min="1" max="1" width="2.7109375" customWidth="1"/>
    <col min="2" max="2" width="7.42578125" customWidth="1"/>
    <col min="3" max="3" width="22.7109375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38.85546875" customWidth="1"/>
    <col min="9" max="9" width="25.5703125" customWidth="1"/>
    <col min="10" max="12" width="9.140625" customWidth="1"/>
    <col min="13" max="15" width="14.140625" customWidth="1"/>
    <col min="16" max="16" width="13.5703125" customWidth="1"/>
    <col min="17" max="17" width="16.28515625" customWidth="1"/>
    <col min="18" max="18" width="14.85546875" customWidth="1"/>
    <col min="19" max="19" width="18" customWidth="1"/>
    <col min="20" max="37" width="8.7109375" customWidth="1"/>
  </cols>
  <sheetData>
    <row r="1" spans="1:37" ht="24.75" customHeight="1">
      <c r="C1" s="1"/>
      <c r="I1" s="2"/>
      <c r="J1" s="63"/>
      <c r="K1" s="63"/>
      <c r="L1" s="63"/>
      <c r="M1" s="3"/>
      <c r="N1" s="3"/>
      <c r="O1" s="3"/>
      <c r="Q1" s="4"/>
      <c r="R1" s="5"/>
      <c r="S1" s="5"/>
    </row>
    <row r="2" spans="1:37" ht="24.75" customHeight="1">
      <c r="A2" s="64"/>
      <c r="B2" s="312" t="s">
        <v>842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>
      <c r="A3" s="64"/>
      <c r="B3" s="6"/>
      <c r="C3" s="6"/>
      <c r="D3" s="6"/>
      <c r="E3" s="6"/>
      <c r="F3" s="6"/>
      <c r="G3" s="6"/>
      <c r="H3" s="6"/>
      <c r="I3" s="6"/>
      <c r="J3" s="6"/>
      <c r="K3" s="6"/>
      <c r="L3" s="226"/>
      <c r="M3" s="321" t="s">
        <v>1</v>
      </c>
      <c r="N3" s="308"/>
      <c r="O3" s="309"/>
      <c r="P3" s="235" t="s">
        <v>34</v>
      </c>
      <c r="Q3" s="322" t="s">
        <v>35</v>
      </c>
      <c r="R3" s="308"/>
      <c r="S3" s="30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>
      <c r="B4" s="236" t="s">
        <v>36</v>
      </c>
      <c r="C4" s="237" t="s">
        <v>37</v>
      </c>
      <c r="D4" s="238" t="s">
        <v>38</v>
      </c>
      <c r="E4" s="236" t="s">
        <v>39</v>
      </c>
      <c r="F4" s="236" t="s">
        <v>40</v>
      </c>
      <c r="G4" s="239" t="s">
        <v>41</v>
      </c>
      <c r="H4" s="236" t="s">
        <v>42</v>
      </c>
      <c r="I4" s="236" t="s">
        <v>43</v>
      </c>
      <c r="J4" s="323" t="s">
        <v>44</v>
      </c>
      <c r="K4" s="308"/>
      <c r="L4" s="309"/>
      <c r="M4" s="240" t="s">
        <v>5</v>
      </c>
      <c r="N4" s="241" t="s">
        <v>6</v>
      </c>
      <c r="O4" s="242" t="s">
        <v>7</v>
      </c>
      <c r="P4" s="242" t="s">
        <v>5</v>
      </c>
      <c r="Q4" s="244" t="s">
        <v>9</v>
      </c>
      <c r="R4" s="245" t="s">
        <v>10</v>
      </c>
      <c r="S4" s="246" t="s">
        <v>46</v>
      </c>
    </row>
    <row r="5" spans="1:37" ht="14.25" customHeight="1">
      <c r="A5" s="21"/>
      <c r="B5" s="75">
        <v>1</v>
      </c>
      <c r="C5" s="204" t="s">
        <v>843</v>
      </c>
      <c r="D5" s="84" t="s">
        <v>147</v>
      </c>
      <c r="E5" s="78" t="s">
        <v>902</v>
      </c>
      <c r="F5" s="84" t="s">
        <v>587</v>
      </c>
      <c r="G5" s="82" t="s">
        <v>588</v>
      </c>
      <c r="H5" s="82" t="str">
        <f t="shared" ref="H5:H19" si="0">UPPER(G5)</f>
        <v>REUNIÃO DO CONSELHO DA ADMINISTRAÇÃO</v>
      </c>
      <c r="I5" s="82" t="s">
        <v>179</v>
      </c>
      <c r="J5" s="83">
        <v>43800</v>
      </c>
      <c r="K5" s="84">
        <v>16</v>
      </c>
      <c r="L5" s="84">
        <v>16</v>
      </c>
      <c r="M5" s="279">
        <v>0</v>
      </c>
      <c r="N5" s="279">
        <v>0</v>
      </c>
      <c r="O5" s="279">
        <v>0</v>
      </c>
      <c r="P5" s="279">
        <v>0</v>
      </c>
      <c r="Q5" s="276">
        <v>598</v>
      </c>
      <c r="R5" s="277">
        <v>0</v>
      </c>
      <c r="S5" s="278">
        <f t="shared" ref="S5:S19" si="1">M5+N5+O5+P5+Q5+R5</f>
        <v>598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15" customHeight="1">
      <c r="A6" s="21"/>
      <c r="B6" s="86">
        <v>2</v>
      </c>
      <c r="C6" s="199" t="s">
        <v>844</v>
      </c>
      <c r="D6" s="95" t="s">
        <v>246</v>
      </c>
      <c r="E6" s="155" t="s">
        <v>1032</v>
      </c>
      <c r="F6" s="102" t="s">
        <v>455</v>
      </c>
      <c r="G6" s="93" t="s">
        <v>845</v>
      </c>
      <c r="H6" s="93" t="str">
        <f t="shared" si="0"/>
        <v>PARTICIPAR EM REUNIÃO SPO/MEC E BB PREV.</v>
      </c>
      <c r="I6" s="93" t="s">
        <v>72</v>
      </c>
      <c r="J6" s="103">
        <v>43800</v>
      </c>
      <c r="K6" s="95">
        <v>11</v>
      </c>
      <c r="L6" s="95">
        <v>12</v>
      </c>
      <c r="M6" s="279">
        <v>0</v>
      </c>
      <c r="N6" s="279">
        <v>0</v>
      </c>
      <c r="O6" s="279">
        <v>0</v>
      </c>
      <c r="P6" s="292">
        <f>22+24</f>
        <v>46</v>
      </c>
      <c r="Q6" s="281">
        <f>1312.03+1197.58</f>
        <v>2509.6099999999997</v>
      </c>
      <c r="R6" s="282">
        <f>448.5+265.1</f>
        <v>713.6</v>
      </c>
      <c r="S6" s="283">
        <f t="shared" si="1"/>
        <v>3269.2099999999996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ht="12.75" customHeight="1">
      <c r="A7" s="21"/>
      <c r="B7" s="86">
        <v>3</v>
      </c>
      <c r="C7" s="195" t="s">
        <v>846</v>
      </c>
      <c r="D7" s="95" t="s">
        <v>249</v>
      </c>
      <c r="E7" s="155" t="s">
        <v>921</v>
      </c>
      <c r="F7" s="102" t="s">
        <v>847</v>
      </c>
      <c r="G7" s="93" t="s">
        <v>845</v>
      </c>
      <c r="H7" s="93" t="str">
        <f t="shared" si="0"/>
        <v>PARTICIPAR EM REUNIÃO SPO/MEC E BB PREV.</v>
      </c>
      <c r="I7" s="93" t="s">
        <v>72</v>
      </c>
      <c r="J7" s="103">
        <v>43800</v>
      </c>
      <c r="K7" s="95">
        <v>11</v>
      </c>
      <c r="L7" s="95">
        <v>12</v>
      </c>
      <c r="M7" s="279">
        <v>0</v>
      </c>
      <c r="N7" s="279">
        <v>0</v>
      </c>
      <c r="O7" s="279">
        <v>0</v>
      </c>
      <c r="P7" s="279">
        <f>38+47+13+12+54</f>
        <v>164</v>
      </c>
      <c r="Q7" s="281">
        <f t="shared" ref="Q7:Q8" si="2">1312.03+1144.57</f>
        <v>2456.6</v>
      </c>
      <c r="R7" s="282">
        <f>448.5+125.4</f>
        <v>573.9</v>
      </c>
      <c r="S7" s="283">
        <f t="shared" si="1"/>
        <v>3194.5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12.75" customHeight="1">
      <c r="A8" s="21"/>
      <c r="B8" s="86">
        <v>4</v>
      </c>
      <c r="C8" s="199" t="s">
        <v>848</v>
      </c>
      <c r="D8" s="95" t="s">
        <v>849</v>
      </c>
      <c r="E8" s="155" t="s">
        <v>1032</v>
      </c>
      <c r="F8" s="151" t="s">
        <v>816</v>
      </c>
      <c r="G8" s="269" t="s">
        <v>850</v>
      </c>
      <c r="H8" s="93" t="str">
        <f t="shared" si="0"/>
        <v>PARTICIPAR EM REUNIÃO NA BB PREV.</v>
      </c>
      <c r="I8" s="93" t="s">
        <v>72</v>
      </c>
      <c r="J8" s="103">
        <v>43801</v>
      </c>
      <c r="K8" s="95">
        <v>11</v>
      </c>
      <c r="L8" s="95">
        <v>11</v>
      </c>
      <c r="M8" s="279">
        <v>72</v>
      </c>
      <c r="N8" s="279">
        <v>100.1</v>
      </c>
      <c r="O8" s="279">
        <v>0</v>
      </c>
      <c r="P8" s="279">
        <v>0</v>
      </c>
      <c r="Q8" s="281">
        <f t="shared" si="2"/>
        <v>2456.6</v>
      </c>
      <c r="R8" s="282">
        <v>0</v>
      </c>
      <c r="S8" s="283">
        <f t="shared" si="1"/>
        <v>2628.7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12.75" customHeight="1">
      <c r="A9" s="21"/>
      <c r="B9" s="86">
        <v>5</v>
      </c>
      <c r="C9" s="199" t="s">
        <v>851</v>
      </c>
      <c r="D9" s="95" t="s">
        <v>445</v>
      </c>
      <c r="E9" s="89" t="s">
        <v>969</v>
      </c>
      <c r="F9" s="95" t="s">
        <v>587</v>
      </c>
      <c r="G9" s="93" t="s">
        <v>588</v>
      </c>
      <c r="H9" s="93" t="str">
        <f t="shared" si="0"/>
        <v>REUNIÃO DO CONSELHO DA ADMINISTRAÇÃO</v>
      </c>
      <c r="I9" s="93" t="s">
        <v>52</v>
      </c>
      <c r="J9" s="94">
        <v>43800</v>
      </c>
      <c r="K9" s="95">
        <v>16</v>
      </c>
      <c r="L9" s="95">
        <v>16</v>
      </c>
      <c r="M9" s="279">
        <v>0</v>
      </c>
      <c r="N9" s="279">
        <v>0</v>
      </c>
      <c r="O9" s="279">
        <v>0</v>
      </c>
      <c r="P9" s="279">
        <v>0</v>
      </c>
      <c r="Q9" s="281">
        <f>955.57+957.03</f>
        <v>1912.6</v>
      </c>
      <c r="R9" s="282">
        <v>0</v>
      </c>
      <c r="S9" s="283">
        <f t="shared" si="1"/>
        <v>1912.6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12.75" customHeight="1">
      <c r="A10" s="21"/>
      <c r="B10" s="86">
        <v>6</v>
      </c>
      <c r="C10" s="199" t="s">
        <v>852</v>
      </c>
      <c r="D10" s="95" t="s">
        <v>806</v>
      </c>
      <c r="E10" s="89" t="s">
        <v>1022</v>
      </c>
      <c r="F10" s="95" t="s">
        <v>587</v>
      </c>
      <c r="G10" s="93" t="s">
        <v>588</v>
      </c>
      <c r="H10" s="93" t="str">
        <f t="shared" si="0"/>
        <v>REUNIÃO DO CONSELHO DA ADMINISTRAÇÃO</v>
      </c>
      <c r="I10" s="93" t="s">
        <v>52</v>
      </c>
      <c r="J10" s="94">
        <v>43800</v>
      </c>
      <c r="K10" s="95">
        <v>16</v>
      </c>
      <c r="L10" s="95">
        <v>16</v>
      </c>
      <c r="M10" s="279">
        <v>0</v>
      </c>
      <c r="N10" s="279">
        <v>0</v>
      </c>
      <c r="O10" s="279">
        <v>0</v>
      </c>
      <c r="P10" s="279">
        <v>0</v>
      </c>
      <c r="Q10" s="281">
        <f>1078.57+835.03</f>
        <v>1913.6</v>
      </c>
      <c r="R10" s="282">
        <v>0</v>
      </c>
      <c r="S10" s="283">
        <f t="shared" si="1"/>
        <v>1913.6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45" customHeight="1">
      <c r="A11" s="21"/>
      <c r="B11" s="86">
        <v>7</v>
      </c>
      <c r="C11" s="195" t="s">
        <v>853</v>
      </c>
      <c r="D11" s="95" t="s">
        <v>854</v>
      </c>
      <c r="E11" s="155" t="s">
        <v>1033</v>
      </c>
      <c r="F11" s="102" t="s">
        <v>855</v>
      </c>
      <c r="G11" s="272" t="s">
        <v>856</v>
      </c>
      <c r="H11" s="93" t="str">
        <f t="shared" si="0"/>
        <v> FAZER INSPEÇÃO DE EQUIPAMENTOS FABRICADOS PELA EMPRESA SCHNEIDER E QUE SERÃO FORNECIDOS PARA A OBRA DA NOVA SUBESTAÇÃO 69KV</v>
      </c>
      <c r="I11" s="93" t="s">
        <v>857</v>
      </c>
      <c r="J11" s="103">
        <v>43800</v>
      </c>
      <c r="K11" s="95">
        <v>4</v>
      </c>
      <c r="L11" s="95">
        <v>5</v>
      </c>
      <c r="M11" s="279">
        <v>0</v>
      </c>
      <c r="N11" s="279">
        <v>0</v>
      </c>
      <c r="O11" s="279">
        <v>0</v>
      </c>
      <c r="P11" s="292">
        <v>0</v>
      </c>
      <c r="Q11" s="281">
        <v>0</v>
      </c>
      <c r="R11" s="282">
        <v>0</v>
      </c>
      <c r="S11" s="283">
        <f t="shared" si="1"/>
        <v>0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45" customHeight="1">
      <c r="A12" s="21"/>
      <c r="B12" s="86">
        <v>8</v>
      </c>
      <c r="C12" s="195" t="s">
        <v>858</v>
      </c>
      <c r="D12" s="95" t="s">
        <v>859</v>
      </c>
      <c r="E12" s="155" t="s">
        <v>1034</v>
      </c>
      <c r="F12" s="102" t="s">
        <v>860</v>
      </c>
      <c r="G12" s="93" t="s">
        <v>861</v>
      </c>
      <c r="H12" s="93" t="str">
        <f t="shared" si="0"/>
        <v>CAPACITAÇÃO DA EQUIPE LOCAL PARA PREPARO DE ALTA DA PACIENTE LUIZA BORTOLINI FRARON PÓS IMPLANTE DE DISPOSITIVO ASSISTÊNCIA VENTRICULAR HEARTMATE II.</v>
      </c>
      <c r="I12" s="93" t="s">
        <v>862</v>
      </c>
      <c r="J12" s="103">
        <v>43800</v>
      </c>
      <c r="K12" s="95">
        <v>10</v>
      </c>
      <c r="L12" s="95">
        <v>10</v>
      </c>
      <c r="M12" s="279">
        <v>0</v>
      </c>
      <c r="N12" s="279">
        <v>68.900000000000006</v>
      </c>
      <c r="O12" s="279">
        <v>0</v>
      </c>
      <c r="P12" s="292">
        <v>0</v>
      </c>
      <c r="Q12" s="281">
        <v>0</v>
      </c>
      <c r="R12" s="282">
        <v>0</v>
      </c>
      <c r="S12" s="283">
        <f t="shared" si="1"/>
        <v>68.900000000000006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48.75" customHeight="1">
      <c r="A13" s="21"/>
      <c r="B13" s="86">
        <v>9</v>
      </c>
      <c r="C13" s="195" t="s">
        <v>863</v>
      </c>
      <c r="D13" s="177" t="s">
        <v>834</v>
      </c>
      <c r="E13" s="155" t="s">
        <v>1029</v>
      </c>
      <c r="F13" s="102" t="s">
        <v>835</v>
      </c>
      <c r="G13" s="93" t="s">
        <v>861</v>
      </c>
      <c r="H13" s="93" t="str">
        <f t="shared" si="0"/>
        <v>CAPACITAÇÃO DA EQUIPE LOCAL PARA PREPARO DE ALTA DA PACIENTE LUIZA BORTOLINI FRARON PÓS IMPLANTE DE DISPOSITIVO ASSISTÊNCIA VENTRICULAR HEARTMATE II.</v>
      </c>
      <c r="I13" s="93" t="s">
        <v>862</v>
      </c>
      <c r="J13" s="103">
        <v>43800</v>
      </c>
      <c r="K13" s="95">
        <v>10</v>
      </c>
      <c r="L13" s="95">
        <v>10</v>
      </c>
      <c r="M13" s="279">
        <v>0</v>
      </c>
      <c r="N13" s="279">
        <v>58.9</v>
      </c>
      <c r="O13" s="279">
        <v>0</v>
      </c>
      <c r="P13" s="292">
        <v>0</v>
      </c>
      <c r="Q13" s="281">
        <v>0</v>
      </c>
      <c r="R13" s="282">
        <v>0</v>
      </c>
      <c r="S13" s="283">
        <f t="shared" si="1"/>
        <v>58.9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27" customHeight="1">
      <c r="A14" s="21"/>
      <c r="B14" s="86">
        <v>10</v>
      </c>
      <c r="C14" s="195" t="s">
        <v>864</v>
      </c>
      <c r="D14" s="95" t="s">
        <v>485</v>
      </c>
      <c r="E14" s="155" t="s">
        <v>916</v>
      </c>
      <c r="F14" s="102" t="s">
        <v>225</v>
      </c>
      <c r="G14" s="158" t="s">
        <v>865</v>
      </c>
      <c r="H14" s="93" t="str">
        <f t="shared" si="0"/>
        <v>MINISTRAR TREINAMENTO AGHUSEE - MÓDULO FARMÁCIA - UNICAMP</v>
      </c>
      <c r="I14" s="93" t="s">
        <v>429</v>
      </c>
      <c r="J14" s="103">
        <v>43800</v>
      </c>
      <c r="K14" s="95">
        <v>17</v>
      </c>
      <c r="L14" s="95">
        <v>19</v>
      </c>
      <c r="M14" s="279">
        <v>0</v>
      </c>
      <c r="N14" s="279">
        <v>0</v>
      </c>
      <c r="O14" s="279">
        <v>0</v>
      </c>
      <c r="P14" s="292">
        <v>0</v>
      </c>
      <c r="Q14" s="281">
        <v>0</v>
      </c>
      <c r="R14" s="282">
        <v>0</v>
      </c>
      <c r="S14" s="283">
        <f t="shared" si="1"/>
        <v>0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ht="46.5" customHeight="1">
      <c r="A15" s="21"/>
      <c r="B15" s="86">
        <v>11</v>
      </c>
      <c r="C15" s="195" t="s">
        <v>866</v>
      </c>
      <c r="D15" s="177" t="s">
        <v>867</v>
      </c>
      <c r="E15" s="155" t="s">
        <v>1035</v>
      </c>
      <c r="F15" s="102" t="s">
        <v>868</v>
      </c>
      <c r="G15" s="93" t="s">
        <v>861</v>
      </c>
      <c r="H15" s="93" t="str">
        <f t="shared" si="0"/>
        <v>CAPACITAÇÃO DA EQUIPE LOCAL PARA PREPARO DE ALTA DA PACIENTE LUIZA BORTOLINI FRARON PÓS IMPLANTE DE DISPOSITIVO ASSISTÊNCIA VENTRICULAR HEARTMATE II.</v>
      </c>
      <c r="I15" s="93" t="s">
        <v>862</v>
      </c>
      <c r="J15" s="103">
        <v>43800</v>
      </c>
      <c r="K15" s="95">
        <v>10</v>
      </c>
      <c r="L15" s="95">
        <v>10</v>
      </c>
      <c r="M15" s="279">
        <v>0</v>
      </c>
      <c r="N15" s="279">
        <v>0</v>
      </c>
      <c r="O15" s="279">
        <v>0</v>
      </c>
      <c r="P15" s="292">
        <v>0</v>
      </c>
      <c r="Q15" s="281">
        <v>0</v>
      </c>
      <c r="R15" s="282">
        <v>0</v>
      </c>
      <c r="S15" s="283">
        <f t="shared" si="1"/>
        <v>0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68.25" customHeight="1">
      <c r="A16" s="21"/>
      <c r="B16" s="86">
        <v>12</v>
      </c>
      <c r="C16" s="195" t="s">
        <v>869</v>
      </c>
      <c r="D16" s="177" t="s">
        <v>870</v>
      </c>
      <c r="E16" s="155" t="s">
        <v>1036</v>
      </c>
      <c r="F16" s="102" t="s">
        <v>871</v>
      </c>
      <c r="G16" s="93" t="s">
        <v>872</v>
      </c>
      <c r="H16" s="93" t="str">
        <f t="shared" si="0"/>
        <v>LEVAR COM O CARRO DO HCPA A EQUIPE DE PROFISSIONAIS DO HCPA PARA CAPACITAÇÃO DA EQUIPE LOCAL, BENTO GONÇALVES, PARA PREPARO DE ALTA DA PACIENTE LUIZA BORTOLINI FRARON PÓS IMPLANTE DE DISPOSITIVO ASSISTÊNCIA VENTRICULAR HEARTMATE II.</v>
      </c>
      <c r="I16" s="93" t="s">
        <v>862</v>
      </c>
      <c r="J16" s="103">
        <v>43800</v>
      </c>
      <c r="K16" s="95">
        <v>10</v>
      </c>
      <c r="L16" s="95">
        <v>10</v>
      </c>
      <c r="M16" s="279">
        <v>0</v>
      </c>
      <c r="N16" s="279">
        <v>41.9</v>
      </c>
      <c r="O16" s="279">
        <v>0</v>
      </c>
      <c r="P16" s="292">
        <v>0</v>
      </c>
      <c r="Q16" s="281">
        <v>0</v>
      </c>
      <c r="R16" s="282">
        <v>0</v>
      </c>
      <c r="S16" s="283">
        <f t="shared" si="1"/>
        <v>41.9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12.75" customHeight="1">
      <c r="A17" s="21"/>
      <c r="B17" s="86">
        <v>13</v>
      </c>
      <c r="C17" s="195"/>
      <c r="D17" s="102" t="s">
        <v>775</v>
      </c>
      <c r="E17" s="155" t="s">
        <v>1018</v>
      </c>
      <c r="F17" s="95" t="s">
        <v>57</v>
      </c>
      <c r="G17" s="95" t="s">
        <v>776</v>
      </c>
      <c r="H17" s="93" t="str">
        <f t="shared" si="0"/>
        <v>PARTICIPAÇÃO NA REUNIÃO DO CONSELHO FISCAL</v>
      </c>
      <c r="I17" s="93" t="s">
        <v>52</v>
      </c>
      <c r="J17" s="103">
        <v>43831</v>
      </c>
      <c r="K17" s="95">
        <v>23</v>
      </c>
      <c r="L17" s="95">
        <v>24</v>
      </c>
      <c r="M17" s="279"/>
      <c r="N17" s="279"/>
      <c r="O17" s="279"/>
      <c r="P17" s="292"/>
      <c r="Q17" s="281">
        <v>906.6</v>
      </c>
      <c r="R17" s="282">
        <v>0</v>
      </c>
      <c r="S17" s="283">
        <f t="shared" si="1"/>
        <v>906.6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12.75" customHeight="1">
      <c r="A18" s="21"/>
      <c r="B18" s="86">
        <v>14</v>
      </c>
      <c r="C18" s="195"/>
      <c r="D18" s="102" t="s">
        <v>778</v>
      </c>
      <c r="E18" s="155" t="s">
        <v>1019</v>
      </c>
      <c r="F18" s="95" t="s">
        <v>57</v>
      </c>
      <c r="G18" s="95" t="s">
        <v>776</v>
      </c>
      <c r="H18" s="93" t="str">
        <f t="shared" si="0"/>
        <v>PARTICIPAÇÃO NA REUNIÃO DO CONSELHO FISCAL</v>
      </c>
      <c r="I18" s="93" t="s">
        <v>52</v>
      </c>
      <c r="J18" s="103">
        <v>43831</v>
      </c>
      <c r="K18" s="95">
        <v>23</v>
      </c>
      <c r="L18" s="95">
        <v>24</v>
      </c>
      <c r="M18" s="279"/>
      <c r="N18" s="279">
        <v>171.6</v>
      </c>
      <c r="O18" s="279"/>
      <c r="P18" s="292"/>
      <c r="Q18" s="281">
        <f>857.42+380.03</f>
        <v>1237.4499999999998</v>
      </c>
      <c r="R18" s="282">
        <f>234.3+18.7</f>
        <v>253</v>
      </c>
      <c r="S18" s="283">
        <f t="shared" si="1"/>
        <v>1662.0499999999997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2.75" customHeight="1">
      <c r="A19" s="21"/>
      <c r="B19" s="106"/>
      <c r="C19" s="210"/>
      <c r="D19" s="108"/>
      <c r="E19" s="182"/>
      <c r="F19" s="108"/>
      <c r="G19" s="230"/>
      <c r="H19" s="108" t="str">
        <f t="shared" si="0"/>
        <v/>
      </c>
      <c r="I19" s="113"/>
      <c r="J19" s="114"/>
      <c r="K19" s="255"/>
      <c r="L19" s="273"/>
      <c r="M19" s="285"/>
      <c r="N19" s="285"/>
      <c r="O19" s="285"/>
      <c r="P19" s="304"/>
      <c r="Q19" s="286"/>
      <c r="R19" s="287"/>
      <c r="S19" s="288">
        <f t="shared" si="1"/>
        <v>0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24.75" customHeight="1">
      <c r="A20" s="41"/>
      <c r="B20" s="41"/>
      <c r="C20" s="41"/>
      <c r="D20" s="41"/>
      <c r="E20" s="41"/>
      <c r="F20" s="41"/>
      <c r="G20" s="41"/>
      <c r="H20" s="41"/>
      <c r="I20" s="125"/>
      <c r="J20" s="41"/>
      <c r="K20" s="34"/>
      <c r="L20" s="41"/>
      <c r="M20" s="170">
        <f t="shared" ref="M20:R20" si="3">SUM(M5:M19)</f>
        <v>72</v>
      </c>
      <c r="N20" s="170">
        <f t="shared" si="3"/>
        <v>441.4</v>
      </c>
      <c r="O20" s="170">
        <f t="shared" si="3"/>
        <v>0</v>
      </c>
      <c r="P20" s="192">
        <f t="shared" si="3"/>
        <v>210</v>
      </c>
      <c r="Q20" s="232">
        <f t="shared" si="3"/>
        <v>13991.060000000001</v>
      </c>
      <c r="R20" s="233">
        <f t="shared" si="3"/>
        <v>1540.5</v>
      </c>
      <c r="S20" s="234">
        <f>SUM(S5:S19)+P21</f>
        <v>16257.06</v>
      </c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 ht="24.75" customHeight="1">
      <c r="A21" s="47"/>
      <c r="B21" s="47"/>
      <c r="C21" s="47"/>
      <c r="D21" s="310"/>
      <c r="E21" s="306"/>
      <c r="F21" s="306"/>
      <c r="G21" s="306"/>
      <c r="H21" s="306"/>
      <c r="I21" s="306"/>
      <c r="J21" s="306"/>
      <c r="K21" s="306"/>
      <c r="L21" s="47"/>
      <c r="M21" s="48"/>
      <c r="N21" s="48"/>
      <c r="O21" s="130" t="s">
        <v>94</v>
      </c>
      <c r="P21" s="22">
        <f>P20*1%</f>
        <v>2.1</v>
      </c>
      <c r="Q21" s="47"/>
      <c r="R21" s="47"/>
      <c r="S21" s="52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</row>
    <row r="22" spans="1:37" ht="24.75" customHeight="1">
      <c r="A22" s="47"/>
      <c r="B22" s="47"/>
      <c r="C22" s="47"/>
      <c r="D22" s="256" t="s">
        <v>95</v>
      </c>
      <c r="E22" s="257"/>
      <c r="F22" s="257"/>
      <c r="G22" s="257"/>
      <c r="H22" s="257"/>
      <c r="I22" s="50"/>
      <c r="J22" s="47"/>
      <c r="K22" s="47"/>
      <c r="L22" s="47"/>
      <c r="M22" s="48"/>
      <c r="N22" s="48"/>
      <c r="O22" s="48"/>
      <c r="P22" s="131">
        <f>P20+P21</f>
        <v>212.1</v>
      </c>
      <c r="Q22" s="51"/>
      <c r="R22" s="52"/>
      <c r="S22" s="132" t="s">
        <v>96</v>
      </c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</row>
    <row r="23" spans="1:37" ht="24.75" customHeight="1">
      <c r="A23" s="47"/>
      <c r="B23" s="47"/>
      <c r="C23" s="47"/>
      <c r="D23" s="311"/>
      <c r="E23" s="306"/>
      <c r="F23" s="306"/>
      <c r="G23" s="306"/>
      <c r="H23" s="306"/>
      <c r="I23" s="306"/>
      <c r="J23" s="306"/>
      <c r="K23" s="306"/>
      <c r="L23" s="47"/>
      <c r="M23" s="48"/>
      <c r="N23" s="48"/>
      <c r="O23" s="48"/>
      <c r="P23" s="22"/>
      <c r="Q23" s="4" t="s">
        <v>26</v>
      </c>
      <c r="R23" s="133">
        <f>M20+N20+O20+P22+Q20+R20</f>
        <v>16257.060000000001</v>
      </c>
      <c r="S23" s="56">
        <f>S20-R23</f>
        <v>0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</row>
    <row r="24" spans="1:37" ht="24.75" customHeight="1">
      <c r="C24" s="1"/>
      <c r="D24" s="1"/>
      <c r="E24" s="1"/>
      <c r="F24" s="1"/>
      <c r="G24" s="1"/>
      <c r="H24" s="1"/>
      <c r="I24" s="2"/>
      <c r="J24" s="63"/>
      <c r="K24" s="63"/>
      <c r="L24" s="63"/>
      <c r="M24" s="3"/>
      <c r="N24" s="3"/>
      <c r="O24" s="130" t="s">
        <v>94</v>
      </c>
      <c r="P24" s="22" t="s">
        <v>97</v>
      </c>
      <c r="Q24" s="4"/>
      <c r="R24" s="5"/>
      <c r="S24" s="5"/>
    </row>
    <row r="25" spans="1:37" ht="24.75" customHeight="1">
      <c r="C25" s="1"/>
      <c r="D25" s="1"/>
      <c r="E25" s="1"/>
      <c r="F25" s="1"/>
      <c r="G25" s="1"/>
      <c r="H25" s="1"/>
      <c r="I25" s="2"/>
      <c r="J25" s="63"/>
      <c r="K25" s="63"/>
      <c r="L25" s="63"/>
      <c r="M25" s="3"/>
      <c r="N25" s="3"/>
      <c r="O25" s="3"/>
      <c r="P25" s="22"/>
      <c r="Q25" s="4"/>
      <c r="R25" s="5"/>
      <c r="S25" s="5"/>
    </row>
    <row r="26" spans="1:37" ht="24.75" customHeight="1">
      <c r="C26" s="1"/>
      <c r="D26" s="1"/>
      <c r="E26" s="1"/>
      <c r="F26" s="1"/>
      <c r="G26" s="1"/>
      <c r="H26" s="1"/>
      <c r="I26" s="2"/>
      <c r="J26" s="63"/>
      <c r="K26" s="63"/>
      <c r="L26" s="63"/>
      <c r="M26" s="3"/>
      <c r="N26" s="3"/>
      <c r="O26" s="3"/>
      <c r="P26" s="22"/>
      <c r="Q26" s="4"/>
      <c r="R26" s="5"/>
      <c r="S26" s="5"/>
    </row>
    <row r="27" spans="1:37" ht="24.75" customHeight="1">
      <c r="C27" s="1"/>
      <c r="D27" s="1"/>
      <c r="E27" s="1"/>
      <c r="F27" s="1"/>
      <c r="G27" s="1"/>
      <c r="H27" s="1"/>
      <c r="I27" s="2"/>
      <c r="J27" s="63"/>
      <c r="K27" s="63"/>
      <c r="L27" s="63"/>
      <c r="M27" s="3"/>
      <c r="N27" s="3"/>
      <c r="O27" s="3"/>
      <c r="P27" s="22"/>
      <c r="Q27" s="4"/>
      <c r="R27" s="5"/>
      <c r="S27" s="5"/>
    </row>
    <row r="28" spans="1:37" ht="24.75" customHeight="1">
      <c r="C28" s="1"/>
      <c r="D28" s="1"/>
      <c r="E28" s="1"/>
      <c r="F28" s="1"/>
      <c r="G28" s="1"/>
      <c r="H28" s="1"/>
      <c r="I28" s="2"/>
      <c r="J28" s="63"/>
      <c r="K28" s="63"/>
      <c r="L28" s="63"/>
      <c r="M28" s="3"/>
      <c r="N28" s="3"/>
      <c r="O28" s="3"/>
      <c r="P28" s="22"/>
      <c r="Q28" s="4"/>
      <c r="R28" s="5"/>
      <c r="S28" s="5"/>
    </row>
    <row r="29" spans="1:37" ht="24.75" customHeight="1">
      <c r="C29" s="1"/>
      <c r="D29" s="1"/>
      <c r="E29" s="1"/>
      <c r="F29" s="1"/>
      <c r="G29" s="1"/>
      <c r="H29" s="1"/>
      <c r="I29" s="2"/>
      <c r="J29" s="63"/>
      <c r="K29" s="63"/>
      <c r="L29" s="63"/>
      <c r="M29" s="3"/>
      <c r="N29" s="3"/>
      <c r="O29" s="3"/>
      <c r="P29" s="22"/>
      <c r="Q29" s="4"/>
      <c r="R29" s="5"/>
      <c r="S29" s="5"/>
    </row>
    <row r="30" spans="1:37" ht="24.75" customHeight="1">
      <c r="C30" s="1"/>
      <c r="D30" s="1"/>
      <c r="E30" s="1"/>
      <c r="F30" s="1"/>
      <c r="G30" s="1"/>
      <c r="H30" s="1"/>
      <c r="I30" s="2"/>
      <c r="J30" s="63"/>
      <c r="K30" s="63"/>
      <c r="L30" s="63"/>
      <c r="M30" s="3"/>
      <c r="N30" s="3"/>
      <c r="O30" s="3"/>
      <c r="P30" s="22"/>
      <c r="Q30" s="4"/>
      <c r="R30" s="5"/>
      <c r="S30" s="5"/>
    </row>
    <row r="31" spans="1:37" ht="24.75" customHeight="1">
      <c r="C31" s="1"/>
      <c r="D31" s="1"/>
      <c r="E31" s="1"/>
      <c r="F31" s="1"/>
      <c r="G31" s="1"/>
      <c r="H31" s="1"/>
      <c r="I31" s="2"/>
      <c r="J31" s="63"/>
      <c r="K31" s="63"/>
      <c r="L31" s="63"/>
      <c r="M31" s="3"/>
      <c r="N31" s="3"/>
      <c r="O31" s="3"/>
      <c r="P31" s="22"/>
      <c r="Q31" s="4"/>
      <c r="R31" s="5"/>
      <c r="S31" s="5"/>
    </row>
    <row r="32" spans="1:37" ht="24.75" customHeight="1">
      <c r="C32" s="1"/>
      <c r="I32" s="2"/>
      <c r="J32" s="63"/>
      <c r="K32" s="63"/>
      <c r="L32" s="63"/>
      <c r="M32" s="3"/>
      <c r="N32" s="3"/>
      <c r="O32" s="3"/>
      <c r="P32" s="22"/>
      <c r="Q32" s="4"/>
      <c r="R32" s="5"/>
      <c r="S32" s="5"/>
    </row>
    <row r="33" spans="3:19" ht="24.75" customHeight="1">
      <c r="C33" s="1"/>
      <c r="D33" s="1"/>
      <c r="E33" s="1"/>
      <c r="F33" s="1"/>
      <c r="G33" s="1"/>
      <c r="H33" s="1"/>
      <c r="I33" s="2"/>
      <c r="J33" s="63"/>
      <c r="K33" s="63"/>
      <c r="L33" s="63"/>
      <c r="M33" s="3"/>
      <c r="N33" s="3"/>
      <c r="O33" s="3"/>
      <c r="P33" s="22"/>
      <c r="Q33" s="4"/>
      <c r="R33" s="5"/>
      <c r="S33" s="5"/>
    </row>
    <row r="34" spans="3:19" ht="24.75" customHeight="1">
      <c r="C34" s="1"/>
      <c r="D34" s="1"/>
      <c r="E34" s="1"/>
      <c r="F34" s="1"/>
      <c r="G34" s="1"/>
      <c r="H34" s="1"/>
      <c r="I34" s="2"/>
      <c r="J34" s="63"/>
      <c r="K34" s="63"/>
      <c r="L34" s="63"/>
      <c r="M34" s="3"/>
      <c r="N34" s="3"/>
      <c r="O34" s="3"/>
      <c r="P34" s="134"/>
      <c r="Q34" s="4"/>
      <c r="R34" s="5"/>
      <c r="S34" s="5"/>
    </row>
    <row r="35" spans="3:19" ht="24.75" customHeight="1">
      <c r="C35" s="1"/>
      <c r="D35" s="1"/>
      <c r="E35" s="1"/>
      <c r="F35" s="1"/>
      <c r="G35" s="1"/>
      <c r="H35" s="1"/>
      <c r="I35" s="2"/>
      <c r="J35" s="63"/>
      <c r="K35" s="63"/>
      <c r="L35" s="63"/>
      <c r="M35" s="3"/>
      <c r="N35" s="3"/>
      <c r="O35" s="3"/>
      <c r="P35" s="47"/>
    </row>
    <row r="36" spans="3:19" ht="24.75" customHeight="1">
      <c r="C36" s="1"/>
      <c r="D36" s="1"/>
      <c r="E36" s="1"/>
      <c r="F36" s="1"/>
      <c r="G36" s="1"/>
      <c r="H36" s="1"/>
      <c r="I36" s="2"/>
      <c r="J36" s="63"/>
      <c r="K36" s="63"/>
      <c r="L36" s="63"/>
      <c r="M36" s="3"/>
      <c r="N36" s="3"/>
      <c r="O36" s="3"/>
      <c r="P36" s="47"/>
    </row>
    <row r="37" spans="3:19" ht="24.75" customHeight="1">
      <c r="C37" s="1"/>
      <c r="D37" s="1"/>
      <c r="E37" s="1"/>
      <c r="F37" s="1"/>
      <c r="G37" s="1"/>
      <c r="H37" s="1"/>
      <c r="I37" s="2"/>
      <c r="J37" s="63"/>
      <c r="K37" s="63"/>
      <c r="L37" s="63"/>
      <c r="M37" s="3"/>
      <c r="N37" s="3"/>
      <c r="O37" s="3"/>
      <c r="P37" s="47"/>
    </row>
    <row r="38" spans="3:19" ht="24.75" customHeight="1">
      <c r="C38" s="1"/>
      <c r="D38" s="1"/>
      <c r="E38" s="1"/>
      <c r="F38" s="1"/>
      <c r="G38" s="1"/>
      <c r="H38" s="1"/>
      <c r="I38" s="2"/>
      <c r="J38" s="63"/>
      <c r="K38" s="63"/>
      <c r="L38" s="63"/>
      <c r="M38" s="3"/>
      <c r="N38" s="3"/>
      <c r="O38" s="3"/>
    </row>
    <row r="39" spans="3:19" ht="24.75" customHeight="1">
      <c r="C39" s="1"/>
      <c r="D39" s="1"/>
      <c r="E39" s="1"/>
      <c r="F39" s="1"/>
      <c r="G39" s="1"/>
      <c r="H39" s="1"/>
      <c r="I39" s="2"/>
      <c r="J39" s="63"/>
      <c r="K39" s="63"/>
      <c r="L39" s="63"/>
      <c r="M39" s="3"/>
      <c r="N39" s="3"/>
      <c r="O39" s="3"/>
    </row>
    <row r="40" spans="3:19" ht="24.75" customHeight="1">
      <c r="C40" s="1"/>
      <c r="D40" s="1"/>
      <c r="E40" s="1"/>
      <c r="F40" s="1"/>
      <c r="G40" s="1"/>
      <c r="H40" s="1"/>
      <c r="I40" s="2"/>
      <c r="J40" s="63"/>
      <c r="K40" s="63"/>
      <c r="L40" s="63"/>
      <c r="M40" s="3"/>
      <c r="N40" s="3"/>
      <c r="O40" s="3"/>
    </row>
    <row r="41" spans="3:19" ht="24.75" customHeight="1">
      <c r="C41" s="1"/>
      <c r="D41" s="1"/>
      <c r="E41" s="1"/>
      <c r="F41" s="1"/>
      <c r="G41" s="1"/>
      <c r="H41" s="1"/>
      <c r="I41" s="2"/>
      <c r="J41" s="63"/>
      <c r="K41" s="63"/>
      <c r="L41" s="63"/>
      <c r="M41" s="3"/>
      <c r="N41" s="3"/>
      <c r="O41" s="3"/>
    </row>
    <row r="42" spans="3:19" ht="24.75" customHeight="1">
      <c r="C42" s="1"/>
      <c r="D42" s="1"/>
      <c r="E42" s="1"/>
      <c r="F42" s="1"/>
      <c r="G42" s="1"/>
      <c r="H42" s="1"/>
      <c r="I42" s="2"/>
      <c r="J42" s="63"/>
      <c r="K42" s="63"/>
      <c r="L42" s="63"/>
      <c r="M42" s="3"/>
      <c r="N42" s="3"/>
      <c r="O42" s="3"/>
    </row>
    <row r="43" spans="3:19" ht="24.75" customHeight="1">
      <c r="C43" s="1"/>
      <c r="D43" s="1"/>
      <c r="E43" s="1"/>
      <c r="F43" s="1"/>
      <c r="G43" s="1"/>
      <c r="H43" s="1"/>
      <c r="I43" s="2"/>
      <c r="J43" s="63"/>
      <c r="K43" s="63"/>
      <c r="L43" s="63"/>
      <c r="M43" s="3"/>
      <c r="N43" s="3"/>
      <c r="O43" s="3"/>
    </row>
    <row r="44" spans="3:19" ht="24.75" customHeight="1">
      <c r="C44" s="1"/>
      <c r="D44" s="1"/>
      <c r="E44" s="1"/>
      <c r="F44" s="1"/>
      <c r="G44" s="1"/>
      <c r="H44" s="1"/>
      <c r="I44" s="2"/>
      <c r="J44" s="63"/>
      <c r="K44" s="63"/>
      <c r="L44" s="63"/>
      <c r="M44" s="3"/>
      <c r="N44" s="3"/>
      <c r="O44" s="3"/>
    </row>
    <row r="45" spans="3:19" ht="24.75" customHeight="1">
      <c r="C45" s="1"/>
      <c r="D45" s="1"/>
      <c r="E45" s="1"/>
      <c r="F45" s="1"/>
      <c r="G45" s="1"/>
      <c r="H45" s="1"/>
      <c r="I45" s="2"/>
      <c r="J45" s="63"/>
      <c r="K45" s="63"/>
      <c r="L45" s="63"/>
      <c r="M45" s="3"/>
      <c r="N45" s="3"/>
      <c r="O45" s="3"/>
    </row>
    <row r="46" spans="3:19" ht="24.75" customHeight="1">
      <c r="C46" s="1"/>
      <c r="D46" s="1"/>
      <c r="E46" s="1"/>
      <c r="F46" s="1"/>
      <c r="G46" s="1"/>
      <c r="H46" s="1"/>
      <c r="I46" s="2"/>
      <c r="J46" s="63"/>
      <c r="K46" s="63"/>
      <c r="L46" s="63"/>
      <c r="M46" s="3"/>
      <c r="N46" s="3"/>
      <c r="O46" s="3"/>
    </row>
    <row r="47" spans="3:19" ht="24.75" customHeight="1">
      <c r="C47" s="1"/>
      <c r="D47" s="1"/>
      <c r="E47" s="1"/>
      <c r="F47" s="1"/>
      <c r="G47" s="1"/>
      <c r="H47" s="1"/>
      <c r="I47" s="2"/>
      <c r="J47" s="63"/>
      <c r="K47" s="63"/>
      <c r="L47" s="63"/>
      <c r="M47" s="3"/>
      <c r="N47" s="3"/>
      <c r="O47" s="3"/>
    </row>
    <row r="48" spans="3:19" ht="24.75" customHeight="1">
      <c r="C48" s="1"/>
      <c r="D48" s="1"/>
      <c r="E48" s="1"/>
      <c r="F48" s="1"/>
      <c r="G48" s="1"/>
      <c r="H48" s="1"/>
      <c r="I48" s="2"/>
      <c r="J48" s="63"/>
      <c r="K48" s="63"/>
      <c r="L48" s="63"/>
      <c r="M48" s="3"/>
      <c r="N48" s="3"/>
      <c r="O48" s="3"/>
    </row>
    <row r="49" spans="3:15" ht="24.75" customHeight="1">
      <c r="C49" s="1"/>
      <c r="D49" s="1"/>
      <c r="E49" s="1"/>
      <c r="F49" s="1"/>
      <c r="G49" s="1"/>
      <c r="H49" s="1"/>
      <c r="I49" s="2"/>
      <c r="J49" s="63"/>
      <c r="K49" s="63"/>
      <c r="L49" s="63"/>
      <c r="M49" s="3"/>
      <c r="N49" s="3"/>
      <c r="O49" s="3"/>
    </row>
    <row r="50" spans="3:15" ht="24.75" customHeight="1">
      <c r="C50" s="1"/>
      <c r="D50" s="1"/>
      <c r="E50" s="1"/>
      <c r="F50" s="1"/>
      <c r="G50" s="1"/>
      <c r="H50" s="1"/>
      <c r="I50" s="2"/>
      <c r="J50" s="63"/>
      <c r="K50" s="63"/>
      <c r="L50" s="63"/>
      <c r="M50" s="3"/>
      <c r="N50" s="3"/>
      <c r="O50" s="3"/>
    </row>
    <row r="51" spans="3:15" ht="24.75" customHeight="1">
      <c r="C51" s="1"/>
      <c r="D51" s="1"/>
      <c r="E51" s="1"/>
      <c r="F51" s="1"/>
      <c r="G51" s="1"/>
      <c r="H51" s="1"/>
      <c r="I51" s="2"/>
      <c r="J51" s="63"/>
      <c r="K51" s="63"/>
      <c r="L51" s="63"/>
    </row>
    <row r="52" spans="3:15" ht="24.75" customHeight="1">
      <c r="C52" s="1"/>
      <c r="D52" s="1"/>
      <c r="E52" s="1"/>
      <c r="F52" s="1"/>
      <c r="G52" s="1"/>
      <c r="H52" s="1"/>
      <c r="I52" s="2"/>
      <c r="J52" s="63"/>
      <c r="K52" s="63"/>
      <c r="L52" s="63"/>
    </row>
    <row r="53" spans="3:15" ht="24.75" customHeight="1">
      <c r="C53" s="1"/>
      <c r="D53" s="1"/>
      <c r="E53" s="1"/>
      <c r="F53" s="1"/>
      <c r="G53" s="1"/>
      <c r="H53" s="1"/>
      <c r="I53" s="2"/>
      <c r="J53" s="63"/>
      <c r="K53" s="63"/>
      <c r="L53" s="63"/>
    </row>
    <row r="54" spans="3:15" ht="24.75" customHeight="1">
      <c r="C54" s="1"/>
      <c r="D54" s="1"/>
      <c r="E54" s="1"/>
      <c r="F54" s="1"/>
      <c r="G54" s="1"/>
      <c r="H54" s="1"/>
      <c r="I54" s="2"/>
      <c r="J54" s="63"/>
      <c r="K54" s="63"/>
      <c r="L54" s="63"/>
    </row>
    <row r="55" spans="3:15" ht="24.75" customHeight="1">
      <c r="C55" s="1"/>
      <c r="D55" s="1"/>
      <c r="E55" s="1"/>
      <c r="F55" s="1"/>
      <c r="G55" s="1"/>
      <c r="H55" s="1"/>
      <c r="I55" s="2"/>
      <c r="J55" s="63"/>
      <c r="K55" s="63"/>
      <c r="L55" s="63"/>
    </row>
    <row r="56" spans="3:15" ht="24.75" customHeight="1">
      <c r="C56" s="1"/>
      <c r="D56" s="1"/>
      <c r="E56" s="1"/>
      <c r="F56" s="1"/>
      <c r="G56" s="1"/>
      <c r="H56" s="1"/>
      <c r="I56" s="2"/>
      <c r="J56" s="63"/>
      <c r="K56" s="63"/>
      <c r="L56" s="63"/>
    </row>
    <row r="57" spans="3:15" ht="24.75" customHeight="1">
      <c r="C57" s="1"/>
      <c r="D57" s="1"/>
      <c r="E57" s="1"/>
      <c r="F57" s="1"/>
      <c r="G57" s="1"/>
      <c r="H57" s="1"/>
      <c r="I57" s="2"/>
      <c r="J57" s="63"/>
      <c r="K57" s="63"/>
      <c r="L57" s="63"/>
    </row>
    <row r="58" spans="3:15" ht="24.75" customHeight="1">
      <c r="C58" s="1"/>
      <c r="D58" s="1"/>
      <c r="E58" s="1"/>
      <c r="F58" s="1"/>
      <c r="G58" s="1"/>
      <c r="H58" s="1"/>
      <c r="I58" s="2"/>
      <c r="J58" s="63"/>
      <c r="K58" s="63"/>
      <c r="L58" s="63"/>
    </row>
    <row r="59" spans="3:15" ht="24.75" customHeight="1">
      <c r="C59" s="1"/>
      <c r="D59" s="1"/>
      <c r="E59" s="1"/>
      <c r="F59" s="1"/>
      <c r="G59" s="1"/>
      <c r="H59" s="1"/>
      <c r="I59" s="2"/>
      <c r="J59" s="63"/>
      <c r="K59" s="63"/>
      <c r="L59" s="63"/>
    </row>
    <row r="60" spans="3:15" ht="24.75" customHeight="1">
      <c r="C60" s="1"/>
      <c r="D60" s="1"/>
      <c r="E60" s="1"/>
      <c r="F60" s="1"/>
      <c r="G60" s="1"/>
      <c r="H60" s="1"/>
      <c r="I60" s="2"/>
      <c r="J60" s="63"/>
      <c r="K60" s="63"/>
      <c r="L60" s="63"/>
    </row>
    <row r="61" spans="3:15" ht="24.75" customHeight="1">
      <c r="C61" s="1"/>
      <c r="D61" s="1"/>
      <c r="E61" s="1"/>
      <c r="F61" s="1"/>
      <c r="G61" s="1"/>
      <c r="H61" s="1"/>
      <c r="I61" s="2"/>
      <c r="J61" s="63"/>
      <c r="K61" s="63"/>
      <c r="L61" s="63"/>
    </row>
    <row r="62" spans="3:15" ht="24.75" customHeight="1">
      <c r="C62" s="1"/>
      <c r="D62" s="1"/>
      <c r="E62" s="1"/>
      <c r="F62" s="1"/>
      <c r="G62" s="1"/>
      <c r="H62" s="1"/>
      <c r="I62" s="2"/>
      <c r="J62" s="63"/>
      <c r="K62" s="63"/>
      <c r="L62" s="63"/>
    </row>
    <row r="63" spans="3:15" ht="24.75" customHeight="1">
      <c r="C63" s="1"/>
      <c r="D63" s="1"/>
      <c r="E63" s="1"/>
      <c r="F63" s="1"/>
      <c r="G63" s="1"/>
      <c r="H63" s="1"/>
      <c r="I63" s="2"/>
      <c r="J63" s="63"/>
      <c r="K63" s="63"/>
      <c r="L63" s="63"/>
    </row>
    <row r="64" spans="3:15" ht="24.75" customHeight="1">
      <c r="C64" s="1"/>
      <c r="D64" s="1"/>
      <c r="E64" s="1"/>
      <c r="F64" s="1"/>
      <c r="G64" s="1"/>
      <c r="H64" s="1"/>
      <c r="I64" s="2"/>
      <c r="J64" s="63"/>
      <c r="K64" s="63"/>
      <c r="L64" s="63"/>
    </row>
    <row r="65" spans="3:12" ht="24.75" customHeight="1">
      <c r="C65" s="1"/>
      <c r="D65" s="1"/>
      <c r="E65" s="1"/>
      <c r="F65" s="1"/>
      <c r="G65" s="1"/>
      <c r="H65" s="1"/>
      <c r="I65" s="2"/>
      <c r="J65" s="63"/>
      <c r="K65" s="63"/>
      <c r="L65" s="63"/>
    </row>
    <row r="66" spans="3:12" ht="24.75" customHeight="1">
      <c r="C66" s="1"/>
      <c r="D66" s="1"/>
      <c r="E66" s="1"/>
      <c r="F66" s="1"/>
      <c r="G66" s="1"/>
      <c r="H66" s="1"/>
      <c r="I66" s="2"/>
      <c r="J66" s="63"/>
      <c r="K66" s="63"/>
      <c r="L66" s="63"/>
    </row>
    <row r="67" spans="3:12" ht="24.75" customHeight="1">
      <c r="C67" s="1"/>
      <c r="D67" s="1"/>
      <c r="E67" s="1"/>
      <c r="F67" s="1"/>
      <c r="G67" s="1"/>
      <c r="H67" s="1"/>
      <c r="I67" s="2"/>
      <c r="J67" s="63"/>
      <c r="K67" s="63"/>
      <c r="L67" s="63"/>
    </row>
    <row r="68" spans="3:12" ht="24.75" customHeight="1">
      <c r="C68" s="1"/>
      <c r="D68" s="1"/>
      <c r="E68" s="1"/>
      <c r="F68" s="1"/>
      <c r="G68" s="1"/>
      <c r="H68" s="1"/>
      <c r="I68" s="2"/>
      <c r="J68" s="63"/>
      <c r="K68" s="63"/>
      <c r="L68" s="63"/>
    </row>
    <row r="69" spans="3:12" ht="24.75" customHeight="1">
      <c r="C69" s="1"/>
      <c r="D69" s="1"/>
      <c r="E69" s="1"/>
      <c r="F69" s="1"/>
      <c r="G69" s="1"/>
      <c r="H69" s="1"/>
      <c r="I69" s="2"/>
      <c r="J69" s="63"/>
      <c r="K69" s="63"/>
      <c r="L69" s="63"/>
    </row>
    <row r="70" spans="3:12" ht="24.75" customHeight="1">
      <c r="C70" s="1"/>
      <c r="D70" s="1"/>
      <c r="E70" s="1"/>
      <c r="F70" s="1"/>
      <c r="G70" s="1"/>
      <c r="H70" s="1"/>
      <c r="I70" s="2"/>
      <c r="J70" s="63"/>
      <c r="K70" s="63"/>
      <c r="L70" s="63"/>
    </row>
    <row r="71" spans="3:12" ht="24.75" customHeight="1">
      <c r="C71" s="1"/>
      <c r="D71" s="1"/>
      <c r="E71" s="1"/>
      <c r="F71" s="1"/>
      <c r="G71" s="1"/>
      <c r="H71" s="1"/>
      <c r="I71" s="2"/>
      <c r="J71" s="63"/>
      <c r="K71" s="63"/>
      <c r="L71" s="63"/>
    </row>
    <row r="72" spans="3:12" ht="24.75" customHeight="1">
      <c r="C72" s="1"/>
      <c r="D72" s="1"/>
      <c r="E72" s="1"/>
      <c r="F72" s="1"/>
      <c r="G72" s="1"/>
      <c r="H72" s="1"/>
      <c r="I72" s="2"/>
      <c r="J72" s="63"/>
      <c r="K72" s="63"/>
      <c r="L72" s="63"/>
    </row>
    <row r="73" spans="3:12" ht="24.75" customHeight="1">
      <c r="C73" s="1"/>
      <c r="D73" s="1"/>
      <c r="E73" s="1"/>
      <c r="F73" s="1"/>
      <c r="G73" s="1"/>
      <c r="H73" s="1"/>
      <c r="I73" s="2"/>
      <c r="J73" s="63"/>
      <c r="K73" s="63"/>
      <c r="L73" s="63"/>
    </row>
    <row r="74" spans="3:12" ht="24.75" customHeight="1">
      <c r="C74" s="1"/>
      <c r="D74" s="1"/>
      <c r="E74" s="1"/>
      <c r="F74" s="1"/>
      <c r="G74" s="1"/>
      <c r="H74" s="1"/>
      <c r="I74" s="2"/>
      <c r="J74" s="63"/>
      <c r="K74" s="63"/>
      <c r="L74" s="63"/>
    </row>
    <row r="75" spans="3:12" ht="24.75" customHeight="1">
      <c r="C75" s="1"/>
      <c r="D75" s="1"/>
      <c r="E75" s="1"/>
      <c r="F75" s="1"/>
      <c r="G75" s="1"/>
      <c r="H75" s="1"/>
      <c r="I75" s="2"/>
      <c r="J75" s="63"/>
      <c r="K75" s="63"/>
      <c r="L75" s="63"/>
    </row>
    <row r="76" spans="3:12" ht="24.75" customHeight="1">
      <c r="C76" s="1"/>
      <c r="D76" s="1"/>
      <c r="E76" s="1"/>
      <c r="F76" s="1"/>
      <c r="G76" s="1"/>
      <c r="H76" s="1"/>
      <c r="I76" s="2"/>
      <c r="J76" s="63"/>
      <c r="K76" s="63"/>
      <c r="L76" s="63"/>
    </row>
    <row r="77" spans="3:12" ht="24.75" customHeight="1">
      <c r="C77" s="1"/>
      <c r="D77" s="1"/>
      <c r="E77" s="1"/>
      <c r="F77" s="1"/>
      <c r="G77" s="1"/>
      <c r="H77" s="1"/>
      <c r="I77" s="2"/>
      <c r="J77" s="63"/>
      <c r="K77" s="63"/>
      <c r="L77" s="63"/>
    </row>
    <row r="78" spans="3:12" ht="24.75" customHeight="1">
      <c r="C78" s="1"/>
      <c r="D78" s="1"/>
      <c r="E78" s="1"/>
      <c r="F78" s="1"/>
      <c r="G78" s="1"/>
      <c r="H78" s="1"/>
      <c r="I78" s="2"/>
      <c r="J78" s="63"/>
      <c r="K78" s="63"/>
      <c r="L78" s="63"/>
    </row>
    <row r="79" spans="3:12" ht="24.75" customHeight="1">
      <c r="C79" s="1"/>
      <c r="D79" s="1"/>
      <c r="E79" s="1"/>
      <c r="F79" s="1"/>
      <c r="G79" s="1"/>
      <c r="H79" s="1"/>
      <c r="I79" s="2"/>
      <c r="J79" s="63"/>
      <c r="K79" s="63"/>
      <c r="L79" s="63"/>
    </row>
    <row r="80" spans="3:12" ht="24.75" customHeight="1">
      <c r="C80" s="1"/>
      <c r="D80" s="1"/>
      <c r="E80" s="1"/>
      <c r="F80" s="1"/>
      <c r="G80" s="1"/>
      <c r="H80" s="1"/>
      <c r="I80" s="2"/>
      <c r="J80" s="63"/>
      <c r="K80" s="63"/>
      <c r="L80" s="63"/>
    </row>
    <row r="81" spans="3:12" ht="24.75" customHeight="1">
      <c r="C81" s="1"/>
      <c r="D81" s="1"/>
      <c r="E81" s="1"/>
      <c r="F81" s="1"/>
      <c r="G81" s="1"/>
      <c r="H81" s="1"/>
      <c r="I81" s="2"/>
      <c r="J81" s="63"/>
      <c r="K81" s="63"/>
      <c r="L81" s="63"/>
    </row>
    <row r="82" spans="3:12" ht="24.75" customHeight="1">
      <c r="C82" s="1"/>
      <c r="D82" s="1"/>
      <c r="E82" s="1"/>
      <c r="F82" s="1"/>
      <c r="G82" s="1"/>
      <c r="H82" s="1"/>
      <c r="I82" s="2"/>
      <c r="J82" s="63"/>
      <c r="K82" s="63"/>
      <c r="L82" s="63"/>
    </row>
    <row r="83" spans="3:12" ht="24.75" customHeight="1">
      <c r="C83" s="1"/>
      <c r="D83" s="1"/>
      <c r="E83" s="1"/>
      <c r="F83" s="1"/>
      <c r="G83" s="1"/>
      <c r="H83" s="1"/>
      <c r="I83" s="2"/>
      <c r="J83" s="63"/>
      <c r="K83" s="63"/>
      <c r="L83" s="63"/>
    </row>
    <row r="84" spans="3:12" ht="24.75" customHeight="1">
      <c r="C84" s="1"/>
      <c r="D84" s="1"/>
      <c r="E84" s="1"/>
      <c r="F84" s="1"/>
      <c r="G84" s="1"/>
      <c r="H84" s="1"/>
      <c r="I84" s="2"/>
      <c r="J84" s="63"/>
      <c r="K84" s="63"/>
      <c r="L84" s="63"/>
    </row>
    <row r="85" spans="3:12" ht="24.75" customHeight="1">
      <c r="C85" s="1"/>
      <c r="D85" s="1"/>
      <c r="E85" s="1"/>
      <c r="F85" s="1"/>
      <c r="G85" s="1"/>
      <c r="H85" s="1"/>
      <c r="I85" s="2"/>
      <c r="J85" s="63"/>
      <c r="K85" s="63"/>
      <c r="L85" s="63"/>
    </row>
    <row r="86" spans="3:12" ht="24.75" customHeight="1">
      <c r="C86" s="1"/>
      <c r="D86" s="1"/>
      <c r="E86" s="1"/>
      <c r="F86" s="1"/>
      <c r="G86" s="1"/>
      <c r="H86" s="1"/>
      <c r="I86" s="2"/>
      <c r="J86" s="63"/>
      <c r="K86" s="63"/>
      <c r="L86" s="63"/>
    </row>
    <row r="87" spans="3:12" ht="24.75" customHeight="1">
      <c r="C87" s="1"/>
      <c r="D87" s="1"/>
      <c r="E87" s="1"/>
      <c r="F87" s="1"/>
      <c r="G87" s="1"/>
      <c r="H87" s="1"/>
      <c r="I87" s="2"/>
      <c r="J87" s="63"/>
      <c r="K87" s="63"/>
      <c r="L87" s="63"/>
    </row>
    <row r="88" spans="3:12" ht="24.75" customHeight="1">
      <c r="C88" s="1"/>
      <c r="D88" s="1"/>
      <c r="E88" s="1"/>
      <c r="F88" s="1"/>
      <c r="G88" s="1"/>
      <c r="H88" s="1"/>
      <c r="I88" s="2"/>
      <c r="J88" s="63"/>
      <c r="K88" s="63"/>
      <c r="L88" s="63"/>
    </row>
    <row r="89" spans="3:12" ht="24.75" customHeight="1">
      <c r="C89" s="1"/>
      <c r="D89" s="1"/>
      <c r="E89" s="1"/>
      <c r="F89" s="1"/>
      <c r="G89" s="1"/>
      <c r="H89" s="1"/>
      <c r="I89" s="2"/>
      <c r="J89" s="63"/>
      <c r="K89" s="63"/>
      <c r="L89" s="63"/>
    </row>
    <row r="90" spans="3:12" ht="24.75" customHeight="1">
      <c r="C90" s="1"/>
      <c r="D90" s="1"/>
      <c r="E90" s="1"/>
      <c r="F90" s="1"/>
      <c r="G90" s="1"/>
      <c r="H90" s="1"/>
      <c r="I90" s="2"/>
      <c r="J90" s="63"/>
      <c r="K90" s="63"/>
      <c r="L90" s="63"/>
    </row>
    <row r="91" spans="3:12" ht="24.75" customHeight="1">
      <c r="C91" s="1"/>
      <c r="D91" s="1"/>
      <c r="E91" s="1"/>
      <c r="F91" s="1"/>
      <c r="G91" s="1"/>
      <c r="H91" s="1"/>
      <c r="I91" s="2"/>
      <c r="J91" s="63"/>
      <c r="K91" s="63"/>
      <c r="L91" s="63"/>
    </row>
    <row r="92" spans="3:12" ht="24.75" customHeight="1">
      <c r="C92" s="1"/>
      <c r="D92" s="1"/>
      <c r="E92" s="1"/>
      <c r="F92" s="1"/>
      <c r="G92" s="1"/>
      <c r="H92" s="1"/>
      <c r="I92" s="2"/>
      <c r="J92" s="63"/>
      <c r="K92" s="63"/>
      <c r="L92" s="63"/>
    </row>
    <row r="93" spans="3:12" ht="24.75" customHeight="1">
      <c r="C93" s="1"/>
      <c r="D93" s="1"/>
      <c r="E93" s="1"/>
      <c r="F93" s="1"/>
      <c r="G93" s="1"/>
      <c r="H93" s="1"/>
      <c r="I93" s="2"/>
      <c r="J93" s="63"/>
      <c r="K93" s="63"/>
      <c r="L93" s="63"/>
    </row>
    <row r="94" spans="3:12" ht="24.75" customHeight="1">
      <c r="C94" s="1"/>
      <c r="D94" s="1"/>
      <c r="E94" s="1"/>
      <c r="F94" s="1"/>
      <c r="G94" s="1"/>
      <c r="H94" s="1"/>
      <c r="I94" s="2"/>
      <c r="J94" s="63"/>
      <c r="K94" s="63"/>
      <c r="L94" s="63"/>
    </row>
    <row r="95" spans="3:12" ht="24.75" customHeight="1">
      <c r="C95" s="1"/>
      <c r="D95" s="1"/>
      <c r="E95" s="1"/>
      <c r="F95" s="1"/>
      <c r="G95" s="1"/>
      <c r="H95" s="1"/>
      <c r="I95" s="2"/>
      <c r="J95" s="63"/>
      <c r="K95" s="63"/>
      <c r="L95" s="63"/>
    </row>
    <row r="96" spans="3:12" ht="24.75" customHeight="1">
      <c r="C96" s="1"/>
      <c r="D96" s="1"/>
      <c r="E96" s="1"/>
      <c r="F96" s="1"/>
      <c r="G96" s="1"/>
      <c r="H96" s="1"/>
      <c r="I96" s="2"/>
      <c r="J96" s="63"/>
      <c r="K96" s="63"/>
      <c r="L96" s="63"/>
    </row>
    <row r="97" spans="3:19" ht="24.75" customHeight="1">
      <c r="C97" s="1"/>
      <c r="D97" s="1"/>
      <c r="E97" s="1"/>
      <c r="F97" s="1"/>
      <c r="G97" s="1"/>
      <c r="H97" s="1"/>
      <c r="I97" s="2"/>
      <c r="J97" s="63"/>
      <c r="K97" s="63"/>
      <c r="L97" s="63"/>
    </row>
    <row r="98" spans="3:19" ht="24.75" customHeight="1">
      <c r="C98" s="1"/>
      <c r="D98" s="1"/>
      <c r="E98" s="1"/>
      <c r="F98" s="1"/>
      <c r="G98" s="1"/>
      <c r="H98" s="1"/>
      <c r="I98" s="2"/>
      <c r="J98" s="63"/>
      <c r="K98" s="63"/>
      <c r="L98" s="63"/>
    </row>
    <row r="99" spans="3:19" ht="24.75" customHeight="1">
      <c r="C99" s="1"/>
      <c r="D99" s="1"/>
      <c r="E99" s="1"/>
      <c r="F99" s="1"/>
      <c r="G99" s="1"/>
      <c r="H99" s="1"/>
      <c r="I99" s="2"/>
      <c r="J99" s="63"/>
      <c r="K99" s="63"/>
      <c r="L99" s="63"/>
    </row>
    <row r="100" spans="3:19" ht="24.75" customHeight="1">
      <c r="C100" s="1"/>
      <c r="D100" s="1"/>
      <c r="E100" s="1"/>
      <c r="F100" s="1"/>
      <c r="G100" s="1"/>
      <c r="H100" s="1"/>
      <c r="I100" s="2"/>
      <c r="J100" s="63"/>
      <c r="K100" s="63"/>
      <c r="L100" s="63"/>
    </row>
    <row r="101" spans="3:19" ht="24.75" customHeight="1">
      <c r="C101" s="1"/>
      <c r="D101" s="1"/>
      <c r="E101" s="1"/>
      <c r="F101" s="1"/>
      <c r="G101" s="1"/>
      <c r="H101" s="1"/>
      <c r="I101" s="2"/>
      <c r="J101" s="63"/>
      <c r="K101" s="63"/>
      <c r="L101" s="63"/>
    </row>
    <row r="102" spans="3:19" ht="24.75" customHeight="1">
      <c r="C102" s="1"/>
      <c r="D102" s="1"/>
      <c r="E102" s="1"/>
      <c r="F102" s="1"/>
      <c r="G102" s="1"/>
      <c r="H102" s="1"/>
      <c r="I102" s="2"/>
      <c r="J102" s="63"/>
      <c r="K102" s="63"/>
      <c r="L102" s="63"/>
    </row>
    <row r="103" spans="3:19" ht="15.75" customHeight="1">
      <c r="C103" s="1"/>
      <c r="I103" s="2"/>
      <c r="J103" s="63"/>
      <c r="K103" s="63"/>
      <c r="L103" s="63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63"/>
      <c r="K104" s="63"/>
      <c r="L104" s="63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63"/>
      <c r="K105" s="63"/>
      <c r="L105" s="63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63"/>
      <c r="K106" s="63"/>
      <c r="L106" s="63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63"/>
      <c r="K107" s="63"/>
      <c r="L107" s="63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63"/>
      <c r="K108" s="63"/>
      <c r="L108" s="63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63"/>
      <c r="K109" s="63"/>
      <c r="L109" s="63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63"/>
      <c r="K110" s="63"/>
      <c r="L110" s="63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63"/>
      <c r="K111" s="63"/>
      <c r="L111" s="63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63"/>
      <c r="K112" s="63"/>
      <c r="L112" s="63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63"/>
      <c r="K113" s="63"/>
      <c r="L113" s="63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63"/>
      <c r="K114" s="63"/>
      <c r="L114" s="63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63"/>
      <c r="K115" s="63"/>
      <c r="L115" s="63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63"/>
      <c r="K116" s="63"/>
      <c r="L116" s="63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63"/>
      <c r="K117" s="63"/>
      <c r="L117" s="63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63"/>
      <c r="K118" s="63"/>
      <c r="L118" s="63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63"/>
      <c r="K119" s="63"/>
      <c r="L119" s="63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63"/>
      <c r="K120" s="63"/>
      <c r="L120" s="63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63"/>
      <c r="K121" s="63"/>
      <c r="L121" s="63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63"/>
      <c r="K122" s="63"/>
      <c r="L122" s="63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63"/>
      <c r="K123" s="63"/>
      <c r="L123" s="63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63"/>
      <c r="K124" s="63"/>
      <c r="L124" s="63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63"/>
      <c r="K125" s="63"/>
      <c r="L125" s="63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63"/>
      <c r="K126" s="63"/>
      <c r="L126" s="63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63"/>
      <c r="K127" s="63"/>
      <c r="L127" s="63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63"/>
      <c r="K128" s="63"/>
      <c r="L128" s="63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63"/>
      <c r="K129" s="63"/>
      <c r="L129" s="63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63"/>
      <c r="K130" s="63"/>
      <c r="L130" s="63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63"/>
      <c r="K131" s="63"/>
      <c r="L131" s="63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63"/>
      <c r="K132" s="63"/>
      <c r="L132" s="63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63"/>
      <c r="K133" s="63"/>
      <c r="L133" s="63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63"/>
      <c r="K134" s="63"/>
      <c r="L134" s="63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63"/>
      <c r="K135" s="63"/>
      <c r="L135" s="63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63"/>
      <c r="K136" s="63"/>
      <c r="L136" s="63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63"/>
      <c r="K137" s="63"/>
      <c r="L137" s="63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63"/>
      <c r="K138" s="63"/>
      <c r="L138" s="63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63"/>
      <c r="K139" s="63"/>
      <c r="L139" s="63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63"/>
      <c r="K140" s="63"/>
      <c r="L140" s="63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63"/>
      <c r="K141" s="63"/>
      <c r="L141" s="63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63"/>
      <c r="K142" s="63"/>
      <c r="L142" s="63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63"/>
      <c r="K143" s="63"/>
      <c r="L143" s="63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63"/>
      <c r="K144" s="63"/>
      <c r="L144" s="63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63"/>
      <c r="K145" s="63"/>
      <c r="L145" s="63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63"/>
      <c r="K146" s="63"/>
      <c r="L146" s="63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63"/>
      <c r="K147" s="63"/>
      <c r="L147" s="63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63"/>
      <c r="K148" s="63"/>
      <c r="L148" s="63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63"/>
      <c r="K149" s="63"/>
      <c r="L149" s="63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63"/>
      <c r="K150" s="63"/>
      <c r="L150" s="63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63"/>
      <c r="K151" s="63"/>
      <c r="L151" s="63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63"/>
      <c r="K152" s="63"/>
      <c r="L152" s="63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63"/>
      <c r="K153" s="63"/>
      <c r="L153" s="63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63"/>
      <c r="K154" s="63"/>
      <c r="L154" s="63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63"/>
      <c r="K155" s="63"/>
      <c r="L155" s="63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63"/>
      <c r="K156" s="63"/>
      <c r="L156" s="63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63"/>
      <c r="K157" s="63"/>
      <c r="L157" s="63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63"/>
      <c r="K158" s="63"/>
      <c r="L158" s="63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63"/>
      <c r="K159" s="63"/>
      <c r="L159" s="63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63"/>
      <c r="K160" s="63"/>
      <c r="L160" s="63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63"/>
      <c r="K161" s="63"/>
      <c r="L161" s="63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63"/>
      <c r="K162" s="63"/>
      <c r="L162" s="63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63"/>
      <c r="K163" s="63"/>
      <c r="L163" s="63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63"/>
      <c r="K164" s="63"/>
      <c r="L164" s="63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63"/>
      <c r="K165" s="63"/>
      <c r="L165" s="63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63"/>
      <c r="K166" s="63"/>
      <c r="L166" s="63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63"/>
      <c r="K167" s="63"/>
      <c r="L167" s="63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63"/>
      <c r="K168" s="63"/>
      <c r="L168" s="63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63"/>
      <c r="K169" s="63"/>
      <c r="L169" s="63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63"/>
      <c r="K170" s="63"/>
      <c r="L170" s="63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63"/>
      <c r="K171" s="63"/>
      <c r="L171" s="63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63"/>
      <c r="K172" s="63"/>
      <c r="L172" s="63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63"/>
      <c r="K173" s="63"/>
      <c r="L173" s="63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63"/>
      <c r="K174" s="63"/>
      <c r="L174" s="63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63"/>
      <c r="K175" s="63"/>
      <c r="L175" s="63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63"/>
      <c r="K176" s="63"/>
      <c r="L176" s="63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63"/>
      <c r="K177" s="63"/>
      <c r="L177" s="63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63"/>
      <c r="K178" s="63"/>
      <c r="L178" s="63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63"/>
      <c r="K179" s="63"/>
      <c r="L179" s="63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63"/>
      <c r="K180" s="63"/>
      <c r="L180" s="63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63"/>
      <c r="K181" s="63"/>
      <c r="L181" s="63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63"/>
      <c r="K182" s="63"/>
      <c r="L182" s="63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63"/>
      <c r="K183" s="63"/>
      <c r="L183" s="63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63"/>
      <c r="K184" s="63"/>
      <c r="L184" s="63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63"/>
      <c r="K185" s="63"/>
      <c r="L185" s="63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63"/>
      <c r="K186" s="63"/>
      <c r="L186" s="63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63"/>
      <c r="K187" s="63"/>
      <c r="L187" s="63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63"/>
      <c r="K188" s="63"/>
      <c r="L188" s="63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63"/>
      <c r="K189" s="63"/>
      <c r="L189" s="63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63"/>
      <c r="K190" s="63"/>
      <c r="L190" s="63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63"/>
      <c r="K191" s="63"/>
      <c r="L191" s="63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63"/>
      <c r="K192" s="63"/>
      <c r="L192" s="63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63"/>
      <c r="K193" s="63"/>
      <c r="L193" s="63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63"/>
      <c r="K194" s="63"/>
      <c r="L194" s="63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63"/>
      <c r="K195" s="63"/>
      <c r="L195" s="63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63"/>
      <c r="K196" s="63"/>
      <c r="L196" s="63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63"/>
      <c r="K197" s="63"/>
      <c r="L197" s="63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63"/>
      <c r="K198" s="63"/>
      <c r="L198" s="63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63"/>
      <c r="K199" s="63"/>
      <c r="L199" s="63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63"/>
      <c r="K200" s="63"/>
      <c r="L200" s="63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63"/>
      <c r="K201" s="63"/>
      <c r="L201" s="63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63"/>
      <c r="K202" s="63"/>
      <c r="L202" s="63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63"/>
      <c r="K203" s="63"/>
      <c r="L203" s="63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63"/>
      <c r="K204" s="63"/>
      <c r="L204" s="63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63"/>
      <c r="K205" s="63"/>
      <c r="L205" s="63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63"/>
      <c r="K206" s="63"/>
      <c r="L206" s="63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63"/>
      <c r="K207" s="63"/>
      <c r="L207" s="63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63"/>
      <c r="K208" s="63"/>
      <c r="L208" s="63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63"/>
      <c r="K209" s="63"/>
      <c r="L209" s="63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63"/>
      <c r="K210" s="63"/>
      <c r="L210" s="63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63"/>
      <c r="K211" s="63"/>
      <c r="L211" s="63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63"/>
      <c r="K212" s="63"/>
      <c r="L212" s="63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63"/>
      <c r="K213" s="63"/>
      <c r="L213" s="63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63"/>
      <c r="K214" s="63"/>
      <c r="L214" s="63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63"/>
      <c r="K215" s="63"/>
      <c r="L215" s="63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63"/>
      <c r="K216" s="63"/>
      <c r="L216" s="63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63"/>
      <c r="K217" s="63"/>
      <c r="L217" s="63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63"/>
      <c r="K218" s="63"/>
      <c r="L218" s="63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63"/>
      <c r="K219" s="63"/>
      <c r="L219" s="63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63"/>
      <c r="K220" s="63"/>
      <c r="L220" s="63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63"/>
      <c r="K221" s="63"/>
      <c r="L221" s="63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63"/>
      <c r="K222" s="63"/>
      <c r="L222" s="63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63"/>
      <c r="K223" s="63"/>
      <c r="L223" s="63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63"/>
      <c r="K224" s="63"/>
      <c r="L224" s="63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63"/>
      <c r="K225" s="63"/>
      <c r="L225" s="63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63"/>
      <c r="K226" s="63"/>
      <c r="L226" s="63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63"/>
      <c r="K227" s="63"/>
      <c r="L227" s="63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63"/>
      <c r="K228" s="63"/>
      <c r="L228" s="63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63"/>
      <c r="K229" s="63"/>
      <c r="L229" s="63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63"/>
      <c r="K230" s="63"/>
      <c r="L230" s="63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63"/>
      <c r="K231" s="63"/>
      <c r="L231" s="63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63"/>
      <c r="K232" s="63"/>
      <c r="L232" s="63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63"/>
      <c r="K233" s="63"/>
      <c r="L233" s="63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63"/>
      <c r="K234" s="63"/>
      <c r="L234" s="63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63"/>
      <c r="K235" s="63"/>
      <c r="L235" s="63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63"/>
      <c r="K236" s="63"/>
      <c r="L236" s="63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63"/>
      <c r="K237" s="63"/>
      <c r="L237" s="63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63"/>
      <c r="K238" s="63"/>
      <c r="L238" s="63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63"/>
      <c r="K239" s="63"/>
      <c r="L239" s="63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63"/>
      <c r="K240" s="63"/>
      <c r="L240" s="63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63"/>
      <c r="K241" s="63"/>
      <c r="L241" s="63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63"/>
      <c r="K242" s="63"/>
      <c r="L242" s="63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63"/>
      <c r="K243" s="63"/>
      <c r="L243" s="63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63"/>
      <c r="K244" s="63"/>
      <c r="L244" s="63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63"/>
      <c r="K245" s="63"/>
      <c r="L245" s="63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63"/>
      <c r="K246" s="63"/>
      <c r="L246" s="63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63"/>
      <c r="K247" s="63"/>
      <c r="L247" s="63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63"/>
      <c r="K248" s="63"/>
      <c r="L248" s="63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63"/>
      <c r="K249" s="63"/>
      <c r="L249" s="63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63"/>
      <c r="K250" s="63"/>
      <c r="L250" s="63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63"/>
      <c r="K251" s="63"/>
      <c r="L251" s="63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63"/>
      <c r="K252" s="63"/>
      <c r="L252" s="63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63"/>
      <c r="K253" s="63"/>
      <c r="L253" s="63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63"/>
      <c r="K254" s="63"/>
      <c r="L254" s="63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63"/>
      <c r="K255" s="63"/>
      <c r="L255" s="63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63"/>
      <c r="K256" s="63"/>
      <c r="L256" s="63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63"/>
      <c r="K257" s="63"/>
      <c r="L257" s="63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63"/>
      <c r="K258" s="63"/>
      <c r="L258" s="63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63"/>
      <c r="K259" s="63"/>
      <c r="L259" s="63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63"/>
      <c r="K260" s="63"/>
      <c r="L260" s="63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63"/>
      <c r="K261" s="63"/>
      <c r="L261" s="63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63"/>
      <c r="K262" s="63"/>
      <c r="L262" s="63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63"/>
      <c r="K263" s="63"/>
      <c r="L263" s="63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63"/>
      <c r="K264" s="63"/>
      <c r="L264" s="63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63"/>
      <c r="K265" s="63"/>
      <c r="L265" s="63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63"/>
      <c r="K266" s="63"/>
      <c r="L266" s="63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63"/>
      <c r="K267" s="63"/>
      <c r="L267" s="63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63"/>
      <c r="K268" s="63"/>
      <c r="L268" s="63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63"/>
      <c r="K269" s="63"/>
      <c r="L269" s="63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63"/>
      <c r="K270" s="63"/>
      <c r="L270" s="63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63"/>
      <c r="K271" s="63"/>
      <c r="L271" s="63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63"/>
      <c r="K272" s="63"/>
      <c r="L272" s="63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63"/>
      <c r="K273" s="63"/>
      <c r="L273" s="63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63"/>
      <c r="K274" s="63"/>
      <c r="L274" s="63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63"/>
      <c r="K275" s="63"/>
      <c r="L275" s="63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63"/>
      <c r="K276" s="63"/>
      <c r="L276" s="63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63"/>
      <c r="K277" s="63"/>
      <c r="L277" s="63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63"/>
      <c r="K278" s="63"/>
      <c r="L278" s="63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63"/>
      <c r="K279" s="63"/>
      <c r="L279" s="63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63"/>
      <c r="K280" s="63"/>
      <c r="L280" s="63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63"/>
      <c r="K281" s="63"/>
      <c r="L281" s="63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63"/>
      <c r="K282" s="63"/>
      <c r="L282" s="63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63"/>
      <c r="K283" s="63"/>
      <c r="L283" s="63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63"/>
      <c r="K284" s="63"/>
      <c r="L284" s="63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63"/>
      <c r="K285" s="63"/>
      <c r="L285" s="63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63"/>
      <c r="K286" s="63"/>
      <c r="L286" s="63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63"/>
      <c r="K287" s="63"/>
      <c r="L287" s="63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63"/>
      <c r="K288" s="63"/>
      <c r="L288" s="63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63"/>
      <c r="K289" s="63"/>
      <c r="L289" s="63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63"/>
      <c r="K290" s="63"/>
      <c r="L290" s="63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63"/>
      <c r="K291" s="63"/>
      <c r="L291" s="63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63"/>
      <c r="K292" s="63"/>
      <c r="L292" s="63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63"/>
      <c r="K293" s="63"/>
      <c r="L293" s="63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63"/>
      <c r="K294" s="63"/>
      <c r="L294" s="63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63"/>
      <c r="K295" s="63"/>
      <c r="L295" s="63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63"/>
      <c r="K296" s="63"/>
      <c r="L296" s="63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63"/>
      <c r="K297" s="63"/>
      <c r="L297" s="63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63"/>
      <c r="K298" s="63"/>
      <c r="L298" s="63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63"/>
      <c r="K299" s="63"/>
      <c r="L299" s="63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63"/>
      <c r="K300" s="63"/>
      <c r="L300" s="63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63"/>
      <c r="K301" s="63"/>
      <c r="L301" s="63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63"/>
      <c r="K302" s="63"/>
      <c r="L302" s="63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63"/>
      <c r="K303" s="63"/>
      <c r="L303" s="63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63"/>
      <c r="K304" s="63"/>
      <c r="L304" s="63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63"/>
      <c r="K305" s="63"/>
      <c r="L305" s="63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63"/>
      <c r="K306" s="63"/>
      <c r="L306" s="63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63"/>
      <c r="K307" s="63"/>
      <c r="L307" s="63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63"/>
      <c r="K308" s="63"/>
      <c r="L308" s="63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63"/>
      <c r="K309" s="63"/>
      <c r="L309" s="63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63"/>
      <c r="K310" s="63"/>
      <c r="L310" s="63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63"/>
      <c r="K311" s="63"/>
      <c r="L311" s="63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63"/>
      <c r="K312" s="63"/>
      <c r="L312" s="63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63"/>
      <c r="K313" s="63"/>
      <c r="L313" s="63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63"/>
      <c r="K314" s="63"/>
      <c r="L314" s="63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63"/>
      <c r="K315" s="63"/>
      <c r="L315" s="63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63"/>
      <c r="K316" s="63"/>
      <c r="L316" s="63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63"/>
      <c r="K317" s="63"/>
      <c r="L317" s="63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63"/>
      <c r="K318" s="63"/>
      <c r="L318" s="63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63"/>
      <c r="K319" s="63"/>
      <c r="L319" s="63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63"/>
      <c r="K320" s="63"/>
      <c r="L320" s="63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63"/>
      <c r="K321" s="63"/>
      <c r="L321" s="63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63"/>
      <c r="K322" s="63"/>
      <c r="L322" s="63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63"/>
      <c r="K323" s="63"/>
      <c r="L323" s="63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63"/>
      <c r="K324" s="63"/>
      <c r="L324" s="63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63"/>
      <c r="K325" s="63"/>
      <c r="L325" s="63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63"/>
      <c r="K326" s="63"/>
      <c r="L326" s="63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63"/>
      <c r="K327" s="63"/>
      <c r="L327" s="63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63"/>
      <c r="K328" s="63"/>
      <c r="L328" s="63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63"/>
      <c r="K329" s="63"/>
      <c r="L329" s="63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63"/>
      <c r="K330" s="63"/>
      <c r="L330" s="63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63"/>
      <c r="K331" s="63"/>
      <c r="L331" s="63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63"/>
      <c r="K332" s="63"/>
      <c r="L332" s="63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63"/>
      <c r="K333" s="63"/>
      <c r="L333" s="63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63"/>
      <c r="K334" s="63"/>
      <c r="L334" s="63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63"/>
      <c r="K335" s="63"/>
      <c r="L335" s="63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63"/>
      <c r="K336" s="63"/>
      <c r="L336" s="63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63"/>
      <c r="K337" s="63"/>
      <c r="L337" s="63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63"/>
      <c r="K338" s="63"/>
      <c r="L338" s="63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63"/>
      <c r="K339" s="63"/>
      <c r="L339" s="63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63"/>
      <c r="K340" s="63"/>
      <c r="L340" s="63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63"/>
      <c r="K341" s="63"/>
      <c r="L341" s="63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63"/>
      <c r="K342" s="63"/>
      <c r="L342" s="63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63"/>
      <c r="K343" s="63"/>
      <c r="L343" s="63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63"/>
      <c r="K344" s="63"/>
      <c r="L344" s="63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63"/>
      <c r="K345" s="63"/>
      <c r="L345" s="63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63"/>
      <c r="K346" s="63"/>
      <c r="L346" s="63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63"/>
      <c r="K347" s="63"/>
      <c r="L347" s="63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63"/>
      <c r="K348" s="63"/>
      <c r="L348" s="63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63"/>
      <c r="K349" s="63"/>
      <c r="L349" s="63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63"/>
      <c r="K350" s="63"/>
      <c r="L350" s="63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63"/>
      <c r="K351" s="63"/>
      <c r="L351" s="63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63"/>
      <c r="K352" s="63"/>
      <c r="L352" s="63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63"/>
      <c r="K353" s="63"/>
      <c r="L353" s="63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63"/>
      <c r="K354" s="63"/>
      <c r="L354" s="63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63"/>
      <c r="K355" s="63"/>
      <c r="L355" s="63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63"/>
      <c r="K356" s="63"/>
      <c r="L356" s="63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63"/>
      <c r="K357" s="63"/>
      <c r="L357" s="63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63"/>
      <c r="K358" s="63"/>
      <c r="L358" s="63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63"/>
      <c r="K359" s="63"/>
      <c r="L359" s="63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63"/>
      <c r="K360" s="63"/>
      <c r="L360" s="63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63"/>
      <c r="K361" s="63"/>
      <c r="L361" s="63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63"/>
      <c r="K362" s="63"/>
      <c r="L362" s="63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63"/>
      <c r="K363" s="63"/>
      <c r="L363" s="63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63"/>
      <c r="K364" s="63"/>
      <c r="L364" s="63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63"/>
      <c r="K365" s="63"/>
      <c r="L365" s="63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63"/>
      <c r="K366" s="63"/>
      <c r="L366" s="63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63"/>
      <c r="K367" s="63"/>
      <c r="L367" s="63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63"/>
      <c r="K368" s="63"/>
      <c r="L368" s="63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63"/>
      <c r="K369" s="63"/>
      <c r="L369" s="63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63"/>
      <c r="K370" s="63"/>
      <c r="L370" s="63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63"/>
      <c r="K371" s="63"/>
      <c r="L371" s="63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63"/>
      <c r="K372" s="63"/>
      <c r="L372" s="63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63"/>
      <c r="K373" s="63"/>
      <c r="L373" s="63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63"/>
      <c r="K374" s="63"/>
      <c r="L374" s="63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63"/>
      <c r="K375" s="63"/>
      <c r="L375" s="63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63"/>
      <c r="K376" s="63"/>
      <c r="L376" s="63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63"/>
      <c r="K377" s="63"/>
      <c r="L377" s="63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63"/>
      <c r="K378" s="63"/>
      <c r="L378" s="63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63"/>
      <c r="K379" s="63"/>
      <c r="L379" s="63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63"/>
      <c r="K380" s="63"/>
      <c r="L380" s="63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63"/>
      <c r="K381" s="63"/>
      <c r="L381" s="63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63"/>
      <c r="K382" s="63"/>
      <c r="L382" s="63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63"/>
      <c r="K383" s="63"/>
      <c r="L383" s="63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63"/>
      <c r="K384" s="63"/>
      <c r="L384" s="63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63"/>
      <c r="K385" s="63"/>
      <c r="L385" s="63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63"/>
      <c r="K386" s="63"/>
      <c r="L386" s="63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63"/>
      <c r="K387" s="63"/>
      <c r="L387" s="63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63"/>
      <c r="K388" s="63"/>
      <c r="L388" s="63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63"/>
      <c r="K389" s="63"/>
      <c r="L389" s="63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63"/>
      <c r="K390" s="63"/>
      <c r="L390" s="63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63"/>
      <c r="K391" s="63"/>
      <c r="L391" s="63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63"/>
      <c r="K392" s="63"/>
      <c r="L392" s="63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63"/>
      <c r="K393" s="63"/>
      <c r="L393" s="63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63"/>
      <c r="K394" s="63"/>
      <c r="L394" s="63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63"/>
      <c r="K395" s="63"/>
      <c r="L395" s="63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63"/>
      <c r="K396" s="63"/>
      <c r="L396" s="63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63"/>
      <c r="K397" s="63"/>
      <c r="L397" s="63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63"/>
      <c r="K398" s="63"/>
      <c r="L398" s="63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63"/>
      <c r="K399" s="63"/>
      <c r="L399" s="63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63"/>
      <c r="K400" s="63"/>
      <c r="L400" s="63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63"/>
      <c r="K401" s="63"/>
      <c r="L401" s="63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63"/>
      <c r="K402" s="63"/>
      <c r="L402" s="63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63"/>
      <c r="K403" s="63"/>
      <c r="L403" s="63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63"/>
      <c r="K404" s="63"/>
      <c r="L404" s="63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63"/>
      <c r="K405" s="63"/>
      <c r="L405" s="63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63"/>
      <c r="K406" s="63"/>
      <c r="L406" s="63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63"/>
      <c r="K407" s="63"/>
      <c r="L407" s="63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63"/>
      <c r="K408" s="63"/>
      <c r="L408" s="63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63"/>
      <c r="K409" s="63"/>
      <c r="L409" s="63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63"/>
      <c r="K410" s="63"/>
      <c r="L410" s="63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63"/>
      <c r="K411" s="63"/>
      <c r="L411" s="63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63"/>
      <c r="K412" s="63"/>
      <c r="L412" s="63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63"/>
      <c r="K413" s="63"/>
      <c r="L413" s="63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63"/>
      <c r="K414" s="63"/>
      <c r="L414" s="63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63"/>
      <c r="K415" s="63"/>
      <c r="L415" s="63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63"/>
      <c r="K416" s="63"/>
      <c r="L416" s="63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63"/>
      <c r="K417" s="63"/>
      <c r="L417" s="63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63"/>
      <c r="K418" s="63"/>
      <c r="L418" s="63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63"/>
      <c r="K419" s="63"/>
      <c r="L419" s="63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63"/>
      <c r="K420" s="63"/>
      <c r="L420" s="63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63"/>
      <c r="K421" s="63"/>
      <c r="L421" s="63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63"/>
      <c r="K422" s="63"/>
      <c r="L422" s="63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63"/>
      <c r="K423" s="63"/>
      <c r="L423" s="63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63"/>
      <c r="K424" s="63"/>
      <c r="L424" s="63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63"/>
      <c r="K425" s="63"/>
      <c r="L425" s="63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63"/>
      <c r="K426" s="63"/>
      <c r="L426" s="63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63"/>
      <c r="K427" s="63"/>
      <c r="L427" s="63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63"/>
      <c r="K428" s="63"/>
      <c r="L428" s="63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63"/>
      <c r="K429" s="63"/>
      <c r="L429" s="63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63"/>
      <c r="K430" s="63"/>
      <c r="L430" s="63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63"/>
      <c r="K431" s="63"/>
      <c r="L431" s="63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63"/>
      <c r="K432" s="63"/>
      <c r="L432" s="63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63"/>
      <c r="K433" s="63"/>
      <c r="L433" s="63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63"/>
      <c r="K434" s="63"/>
      <c r="L434" s="63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63"/>
      <c r="K435" s="63"/>
      <c r="L435" s="63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63"/>
      <c r="K436" s="63"/>
      <c r="L436" s="63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63"/>
      <c r="K437" s="63"/>
      <c r="L437" s="63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63"/>
      <c r="K438" s="63"/>
      <c r="L438" s="63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63"/>
      <c r="K439" s="63"/>
      <c r="L439" s="63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63"/>
      <c r="K440" s="63"/>
      <c r="L440" s="63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63"/>
      <c r="K441" s="63"/>
      <c r="L441" s="63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63"/>
      <c r="K442" s="63"/>
      <c r="L442" s="63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63"/>
      <c r="K443" s="63"/>
      <c r="L443" s="63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63"/>
      <c r="K444" s="63"/>
      <c r="L444" s="63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63"/>
      <c r="K445" s="63"/>
      <c r="L445" s="63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63"/>
      <c r="K446" s="63"/>
      <c r="L446" s="63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63"/>
      <c r="K447" s="63"/>
      <c r="L447" s="63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63"/>
      <c r="K448" s="63"/>
      <c r="L448" s="63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63"/>
      <c r="K449" s="63"/>
      <c r="L449" s="63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63"/>
      <c r="K450" s="63"/>
      <c r="L450" s="63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63"/>
      <c r="K451" s="63"/>
      <c r="L451" s="63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63"/>
      <c r="K452" s="63"/>
      <c r="L452" s="63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63"/>
      <c r="K453" s="63"/>
      <c r="L453" s="63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63"/>
      <c r="K454" s="63"/>
      <c r="L454" s="63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63"/>
      <c r="K455" s="63"/>
      <c r="L455" s="63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63"/>
      <c r="K456" s="63"/>
      <c r="L456" s="63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63"/>
      <c r="K457" s="63"/>
      <c r="L457" s="63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63"/>
      <c r="K458" s="63"/>
      <c r="L458" s="63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63"/>
      <c r="K459" s="63"/>
      <c r="L459" s="63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63"/>
      <c r="K460" s="63"/>
      <c r="L460" s="63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63"/>
      <c r="K461" s="63"/>
      <c r="L461" s="63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63"/>
      <c r="K462" s="63"/>
      <c r="L462" s="63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63"/>
      <c r="K463" s="63"/>
      <c r="L463" s="63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63"/>
      <c r="K464" s="63"/>
      <c r="L464" s="63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63"/>
      <c r="K465" s="63"/>
      <c r="L465" s="63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63"/>
      <c r="K466" s="63"/>
      <c r="L466" s="63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63"/>
      <c r="K467" s="63"/>
      <c r="L467" s="63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63"/>
      <c r="K468" s="63"/>
      <c r="L468" s="63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63"/>
      <c r="K469" s="63"/>
      <c r="L469" s="63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63"/>
      <c r="K470" s="63"/>
      <c r="L470" s="63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63"/>
      <c r="K471" s="63"/>
      <c r="L471" s="63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63"/>
      <c r="K472" s="63"/>
      <c r="L472" s="63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63"/>
      <c r="K473" s="63"/>
      <c r="L473" s="63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63"/>
      <c r="K474" s="63"/>
      <c r="L474" s="63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63"/>
      <c r="K475" s="63"/>
      <c r="L475" s="63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63"/>
      <c r="K476" s="63"/>
      <c r="L476" s="63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63"/>
      <c r="K477" s="63"/>
      <c r="L477" s="63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63"/>
      <c r="K478" s="63"/>
      <c r="L478" s="63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63"/>
      <c r="K479" s="63"/>
      <c r="L479" s="63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63"/>
      <c r="K480" s="63"/>
      <c r="L480" s="63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63"/>
      <c r="K481" s="63"/>
      <c r="L481" s="63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63"/>
      <c r="K482" s="63"/>
      <c r="L482" s="63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63"/>
      <c r="K483" s="63"/>
      <c r="L483" s="63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63"/>
      <c r="K484" s="63"/>
      <c r="L484" s="63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63"/>
      <c r="K485" s="63"/>
      <c r="L485" s="63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63"/>
      <c r="K486" s="63"/>
      <c r="L486" s="63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63"/>
      <c r="K487" s="63"/>
      <c r="L487" s="63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63"/>
      <c r="K488" s="63"/>
      <c r="L488" s="63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63"/>
      <c r="K489" s="63"/>
      <c r="L489" s="63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63"/>
      <c r="K490" s="63"/>
      <c r="L490" s="63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63"/>
      <c r="K491" s="63"/>
      <c r="L491" s="63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63"/>
      <c r="K492" s="63"/>
      <c r="L492" s="63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63"/>
      <c r="K493" s="63"/>
      <c r="L493" s="63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63"/>
      <c r="K494" s="63"/>
      <c r="L494" s="63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63"/>
      <c r="K495" s="63"/>
      <c r="L495" s="63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63"/>
      <c r="K496" s="63"/>
      <c r="L496" s="63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63"/>
      <c r="K497" s="63"/>
      <c r="L497" s="63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63"/>
      <c r="K498" s="63"/>
      <c r="L498" s="63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63"/>
      <c r="K499" s="63"/>
      <c r="L499" s="63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63"/>
      <c r="K500" s="63"/>
      <c r="L500" s="63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63"/>
      <c r="K501" s="63"/>
      <c r="L501" s="63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63"/>
      <c r="K502" s="63"/>
      <c r="L502" s="63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63"/>
      <c r="K503" s="63"/>
      <c r="L503" s="63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63"/>
      <c r="K504" s="63"/>
      <c r="L504" s="63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63"/>
      <c r="K505" s="63"/>
      <c r="L505" s="63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63"/>
      <c r="K506" s="63"/>
      <c r="L506" s="63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63"/>
      <c r="K507" s="63"/>
      <c r="L507" s="63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63"/>
      <c r="K508" s="63"/>
      <c r="L508" s="63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63"/>
      <c r="K509" s="63"/>
      <c r="L509" s="63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63"/>
      <c r="K510" s="63"/>
      <c r="L510" s="63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63"/>
      <c r="K511" s="63"/>
      <c r="L511" s="63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63"/>
      <c r="K512" s="63"/>
      <c r="L512" s="63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63"/>
      <c r="K513" s="63"/>
      <c r="L513" s="63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63"/>
      <c r="K514" s="63"/>
      <c r="L514" s="63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63"/>
      <c r="K515" s="63"/>
      <c r="L515" s="63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63"/>
      <c r="K516" s="63"/>
      <c r="L516" s="63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63"/>
      <c r="K517" s="63"/>
      <c r="L517" s="63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63"/>
      <c r="K518" s="63"/>
      <c r="L518" s="63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63"/>
      <c r="K519" s="63"/>
      <c r="L519" s="63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63"/>
      <c r="K520" s="63"/>
      <c r="L520" s="63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63"/>
      <c r="K521" s="63"/>
      <c r="L521" s="63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63"/>
      <c r="K522" s="63"/>
      <c r="L522" s="63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63"/>
      <c r="K523" s="63"/>
      <c r="L523" s="63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63"/>
      <c r="K524" s="63"/>
      <c r="L524" s="63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63"/>
      <c r="K525" s="63"/>
      <c r="L525" s="63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63"/>
      <c r="K526" s="63"/>
      <c r="L526" s="63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63"/>
      <c r="K527" s="63"/>
      <c r="L527" s="63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63"/>
      <c r="K528" s="63"/>
      <c r="L528" s="63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63"/>
      <c r="K529" s="63"/>
      <c r="L529" s="63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63"/>
      <c r="K530" s="63"/>
      <c r="L530" s="63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63"/>
      <c r="K531" s="63"/>
      <c r="L531" s="63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63"/>
      <c r="K532" s="63"/>
      <c r="L532" s="63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63"/>
      <c r="K533" s="63"/>
      <c r="L533" s="63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63"/>
      <c r="K534" s="63"/>
      <c r="L534" s="63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63"/>
      <c r="K535" s="63"/>
      <c r="L535" s="63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63"/>
      <c r="K536" s="63"/>
      <c r="L536" s="63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63"/>
      <c r="K537" s="63"/>
      <c r="L537" s="63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63"/>
      <c r="K538" s="63"/>
      <c r="L538" s="63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63"/>
      <c r="K539" s="63"/>
      <c r="L539" s="63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63"/>
      <c r="K540" s="63"/>
      <c r="L540" s="63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63"/>
      <c r="K541" s="63"/>
      <c r="L541" s="63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63"/>
      <c r="K542" s="63"/>
      <c r="L542" s="63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63"/>
      <c r="K543" s="63"/>
      <c r="L543" s="63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63"/>
      <c r="K544" s="63"/>
      <c r="L544" s="63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63"/>
      <c r="K545" s="63"/>
      <c r="L545" s="63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63"/>
      <c r="K546" s="63"/>
      <c r="L546" s="63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63"/>
      <c r="K547" s="63"/>
      <c r="L547" s="63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63"/>
      <c r="K548" s="63"/>
      <c r="L548" s="63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63"/>
      <c r="K549" s="63"/>
      <c r="L549" s="63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63"/>
      <c r="K550" s="63"/>
      <c r="L550" s="63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63"/>
      <c r="K551" s="63"/>
      <c r="L551" s="63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63"/>
      <c r="K552" s="63"/>
      <c r="L552" s="63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63"/>
      <c r="K553" s="63"/>
      <c r="L553" s="63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63"/>
      <c r="K554" s="63"/>
      <c r="L554" s="63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63"/>
      <c r="K555" s="63"/>
      <c r="L555" s="63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63"/>
      <c r="K556" s="63"/>
      <c r="L556" s="63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63"/>
      <c r="K557" s="63"/>
      <c r="L557" s="63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63"/>
      <c r="K558" s="63"/>
      <c r="L558" s="63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63"/>
      <c r="K559" s="63"/>
      <c r="L559" s="63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63"/>
      <c r="K560" s="63"/>
      <c r="L560" s="63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63"/>
      <c r="K561" s="63"/>
      <c r="L561" s="63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63"/>
      <c r="K562" s="63"/>
      <c r="L562" s="63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63"/>
      <c r="K563" s="63"/>
      <c r="L563" s="63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63"/>
      <c r="K564" s="63"/>
      <c r="L564" s="63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63"/>
      <c r="K565" s="63"/>
      <c r="L565" s="63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63"/>
      <c r="K566" s="63"/>
      <c r="L566" s="63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63"/>
      <c r="K567" s="63"/>
      <c r="L567" s="63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63"/>
      <c r="K568" s="63"/>
      <c r="L568" s="63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63"/>
      <c r="K569" s="63"/>
      <c r="L569" s="63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63"/>
      <c r="K570" s="63"/>
      <c r="L570" s="63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63"/>
      <c r="K571" s="63"/>
      <c r="L571" s="63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63"/>
      <c r="K572" s="63"/>
      <c r="L572" s="63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63"/>
      <c r="K573" s="63"/>
      <c r="L573" s="63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63"/>
      <c r="K574" s="63"/>
      <c r="L574" s="63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63"/>
      <c r="K575" s="63"/>
      <c r="L575" s="63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63"/>
      <c r="K576" s="63"/>
      <c r="L576" s="63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63"/>
      <c r="K577" s="63"/>
      <c r="L577" s="63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63"/>
      <c r="K578" s="63"/>
      <c r="L578" s="63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63"/>
      <c r="K579" s="63"/>
      <c r="L579" s="63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63"/>
      <c r="K580" s="63"/>
      <c r="L580" s="63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63"/>
      <c r="K581" s="63"/>
      <c r="L581" s="63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63"/>
      <c r="K582" s="63"/>
      <c r="L582" s="63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63"/>
      <c r="K583" s="63"/>
      <c r="L583" s="63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63"/>
      <c r="K584" s="63"/>
      <c r="L584" s="63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63"/>
      <c r="K585" s="63"/>
      <c r="L585" s="63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63"/>
      <c r="K586" s="63"/>
      <c r="L586" s="63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63"/>
      <c r="K587" s="63"/>
      <c r="L587" s="63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63"/>
      <c r="K588" s="63"/>
      <c r="L588" s="63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63"/>
      <c r="K589" s="63"/>
      <c r="L589" s="63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63"/>
      <c r="K590" s="63"/>
      <c r="L590" s="63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63"/>
      <c r="K591" s="63"/>
      <c r="L591" s="63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63"/>
      <c r="K592" s="63"/>
      <c r="L592" s="63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63"/>
      <c r="K593" s="63"/>
      <c r="L593" s="63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63"/>
      <c r="K594" s="63"/>
      <c r="L594" s="63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63"/>
      <c r="K595" s="63"/>
      <c r="L595" s="63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63"/>
      <c r="K596" s="63"/>
      <c r="L596" s="63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63"/>
      <c r="K597" s="63"/>
      <c r="L597" s="63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63"/>
      <c r="K598" s="63"/>
      <c r="L598" s="63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63"/>
      <c r="K599" s="63"/>
      <c r="L599" s="63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63"/>
      <c r="K600" s="63"/>
      <c r="L600" s="63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63"/>
      <c r="K601" s="63"/>
      <c r="L601" s="63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63"/>
      <c r="K602" s="63"/>
      <c r="L602" s="63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63"/>
      <c r="K603" s="63"/>
      <c r="L603" s="63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63"/>
      <c r="K604" s="63"/>
      <c r="L604" s="63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63"/>
      <c r="K605" s="63"/>
      <c r="L605" s="63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63"/>
      <c r="K606" s="63"/>
      <c r="L606" s="63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63"/>
      <c r="K607" s="63"/>
      <c r="L607" s="63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63"/>
      <c r="K608" s="63"/>
      <c r="L608" s="63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63"/>
      <c r="K609" s="63"/>
      <c r="L609" s="63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63"/>
      <c r="K610" s="63"/>
      <c r="L610" s="63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63"/>
      <c r="K611" s="63"/>
      <c r="L611" s="63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63"/>
      <c r="K612" s="63"/>
      <c r="L612" s="63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63"/>
      <c r="K613" s="63"/>
      <c r="L613" s="63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63"/>
      <c r="K614" s="63"/>
      <c r="L614" s="63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63"/>
      <c r="K615" s="63"/>
      <c r="L615" s="63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63"/>
      <c r="K616" s="63"/>
      <c r="L616" s="63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63"/>
      <c r="K617" s="63"/>
      <c r="L617" s="63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63"/>
      <c r="K618" s="63"/>
      <c r="L618" s="63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63"/>
      <c r="K619" s="63"/>
      <c r="L619" s="63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63"/>
      <c r="K620" s="63"/>
      <c r="L620" s="63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63"/>
      <c r="K621" s="63"/>
      <c r="L621" s="63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63"/>
      <c r="K622" s="63"/>
      <c r="L622" s="63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63"/>
      <c r="K623" s="63"/>
      <c r="L623" s="63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63"/>
      <c r="K624" s="63"/>
      <c r="L624" s="63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63"/>
      <c r="K625" s="63"/>
      <c r="L625" s="63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63"/>
      <c r="K626" s="63"/>
      <c r="L626" s="63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63"/>
      <c r="K627" s="63"/>
      <c r="L627" s="63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63"/>
      <c r="K628" s="63"/>
      <c r="L628" s="63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63"/>
      <c r="K629" s="63"/>
      <c r="L629" s="63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63"/>
      <c r="K630" s="63"/>
      <c r="L630" s="63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63"/>
      <c r="K631" s="63"/>
      <c r="L631" s="63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63"/>
      <c r="K632" s="63"/>
      <c r="L632" s="63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63"/>
      <c r="K633" s="63"/>
      <c r="L633" s="63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63"/>
      <c r="K634" s="63"/>
      <c r="L634" s="63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63"/>
      <c r="K635" s="63"/>
      <c r="L635" s="63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63"/>
      <c r="K636" s="63"/>
      <c r="L636" s="63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63"/>
      <c r="K637" s="63"/>
      <c r="L637" s="63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63"/>
      <c r="K638" s="63"/>
      <c r="L638" s="63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63"/>
      <c r="K639" s="63"/>
      <c r="L639" s="63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63"/>
      <c r="K640" s="63"/>
      <c r="L640" s="63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63"/>
      <c r="K641" s="63"/>
      <c r="L641" s="63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63"/>
      <c r="K642" s="63"/>
      <c r="L642" s="63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63"/>
      <c r="K643" s="63"/>
      <c r="L643" s="63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63"/>
      <c r="K644" s="63"/>
      <c r="L644" s="63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63"/>
      <c r="K645" s="63"/>
      <c r="L645" s="63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63"/>
      <c r="K646" s="63"/>
      <c r="L646" s="63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63"/>
      <c r="K647" s="63"/>
      <c r="L647" s="63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63"/>
      <c r="K648" s="63"/>
      <c r="L648" s="63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63"/>
      <c r="K649" s="63"/>
      <c r="L649" s="63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63"/>
      <c r="K650" s="63"/>
      <c r="L650" s="63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63"/>
      <c r="K651" s="63"/>
      <c r="L651" s="63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63"/>
      <c r="K652" s="63"/>
      <c r="L652" s="63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63"/>
      <c r="K653" s="63"/>
      <c r="L653" s="63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63"/>
      <c r="K654" s="63"/>
      <c r="L654" s="63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63"/>
      <c r="K655" s="63"/>
      <c r="L655" s="63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63"/>
      <c r="K656" s="63"/>
      <c r="L656" s="63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63"/>
      <c r="K657" s="63"/>
      <c r="L657" s="63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63"/>
      <c r="K658" s="63"/>
      <c r="L658" s="63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63"/>
      <c r="K659" s="63"/>
      <c r="L659" s="63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63"/>
      <c r="K660" s="63"/>
      <c r="L660" s="63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63"/>
      <c r="K661" s="63"/>
      <c r="L661" s="63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63"/>
      <c r="K662" s="63"/>
      <c r="L662" s="63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63"/>
      <c r="K663" s="63"/>
      <c r="L663" s="63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63"/>
      <c r="K664" s="63"/>
      <c r="L664" s="63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63"/>
      <c r="K665" s="63"/>
      <c r="L665" s="63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63"/>
      <c r="K666" s="63"/>
      <c r="L666" s="63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63"/>
      <c r="K667" s="63"/>
      <c r="L667" s="63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63"/>
      <c r="K668" s="63"/>
      <c r="L668" s="63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63"/>
      <c r="K669" s="63"/>
      <c r="L669" s="63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63"/>
      <c r="K670" s="63"/>
      <c r="L670" s="63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63"/>
      <c r="K671" s="63"/>
      <c r="L671" s="63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63"/>
      <c r="K672" s="63"/>
      <c r="L672" s="63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63"/>
      <c r="K673" s="63"/>
      <c r="L673" s="63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63"/>
      <c r="K674" s="63"/>
      <c r="L674" s="63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63"/>
      <c r="K675" s="63"/>
      <c r="L675" s="63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63"/>
      <c r="K676" s="63"/>
      <c r="L676" s="63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63"/>
      <c r="K677" s="63"/>
      <c r="L677" s="63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63"/>
      <c r="K678" s="63"/>
      <c r="L678" s="63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63"/>
      <c r="K679" s="63"/>
      <c r="L679" s="63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63"/>
      <c r="K680" s="63"/>
      <c r="L680" s="63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63"/>
      <c r="K681" s="63"/>
      <c r="L681" s="63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63"/>
      <c r="K682" s="63"/>
      <c r="L682" s="63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63"/>
      <c r="K683" s="63"/>
      <c r="L683" s="63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63"/>
      <c r="K684" s="63"/>
      <c r="L684" s="63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63"/>
      <c r="K685" s="63"/>
      <c r="L685" s="63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63"/>
      <c r="K686" s="63"/>
      <c r="L686" s="63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63"/>
      <c r="K687" s="63"/>
      <c r="L687" s="63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63"/>
      <c r="K688" s="63"/>
      <c r="L688" s="63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63"/>
      <c r="K689" s="63"/>
      <c r="L689" s="63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63"/>
      <c r="K690" s="63"/>
      <c r="L690" s="63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63"/>
      <c r="K691" s="63"/>
      <c r="L691" s="63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63"/>
      <c r="K692" s="63"/>
      <c r="L692" s="63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63"/>
      <c r="K693" s="63"/>
      <c r="L693" s="63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63"/>
      <c r="K694" s="63"/>
      <c r="L694" s="63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63"/>
      <c r="K695" s="63"/>
      <c r="L695" s="63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63"/>
      <c r="K696" s="63"/>
      <c r="L696" s="63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63"/>
      <c r="K697" s="63"/>
      <c r="L697" s="63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63"/>
      <c r="K698" s="63"/>
      <c r="L698" s="63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63"/>
      <c r="K699" s="63"/>
      <c r="L699" s="63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63"/>
      <c r="K700" s="63"/>
      <c r="L700" s="63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63"/>
      <c r="K701" s="63"/>
      <c r="L701" s="63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63"/>
      <c r="K702" s="63"/>
      <c r="L702" s="63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63"/>
      <c r="K703" s="63"/>
      <c r="L703" s="63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63"/>
      <c r="K704" s="63"/>
      <c r="L704" s="63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63"/>
      <c r="K705" s="63"/>
      <c r="L705" s="63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63"/>
      <c r="K706" s="63"/>
      <c r="L706" s="63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63"/>
      <c r="K707" s="63"/>
      <c r="L707" s="63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63"/>
      <c r="K708" s="63"/>
      <c r="L708" s="63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63"/>
      <c r="K709" s="63"/>
      <c r="L709" s="63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63"/>
      <c r="K710" s="63"/>
      <c r="L710" s="63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63"/>
      <c r="K711" s="63"/>
      <c r="L711" s="63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63"/>
      <c r="K712" s="63"/>
      <c r="L712" s="63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63"/>
      <c r="K713" s="63"/>
      <c r="L713" s="63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63"/>
      <c r="K714" s="63"/>
      <c r="L714" s="63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63"/>
      <c r="K715" s="63"/>
      <c r="L715" s="63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63"/>
      <c r="K716" s="63"/>
      <c r="L716" s="63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63"/>
      <c r="K717" s="63"/>
      <c r="L717" s="63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63"/>
      <c r="K718" s="63"/>
      <c r="L718" s="63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63"/>
      <c r="K719" s="63"/>
      <c r="L719" s="63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63"/>
      <c r="K720" s="63"/>
      <c r="L720" s="63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63"/>
      <c r="K721" s="63"/>
      <c r="L721" s="63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63"/>
      <c r="K722" s="63"/>
      <c r="L722" s="63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63"/>
      <c r="K723" s="63"/>
      <c r="L723" s="63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63"/>
      <c r="K724" s="63"/>
      <c r="L724" s="63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63"/>
      <c r="K725" s="63"/>
      <c r="L725" s="63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63"/>
      <c r="K726" s="63"/>
      <c r="L726" s="63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63"/>
      <c r="K727" s="63"/>
      <c r="L727" s="63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63"/>
      <c r="K728" s="63"/>
      <c r="L728" s="63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63"/>
      <c r="K729" s="63"/>
      <c r="L729" s="63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63"/>
      <c r="K730" s="63"/>
      <c r="L730" s="63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63"/>
      <c r="K731" s="63"/>
      <c r="L731" s="63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63"/>
      <c r="K732" s="63"/>
      <c r="L732" s="63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63"/>
      <c r="K733" s="63"/>
      <c r="L733" s="63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63"/>
      <c r="K734" s="63"/>
      <c r="L734" s="63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63"/>
      <c r="K735" s="63"/>
      <c r="L735" s="63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63"/>
      <c r="K736" s="63"/>
      <c r="L736" s="63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63"/>
      <c r="K737" s="63"/>
      <c r="L737" s="63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63"/>
      <c r="K738" s="63"/>
      <c r="L738" s="63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63"/>
      <c r="K739" s="63"/>
      <c r="L739" s="63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63"/>
      <c r="K740" s="63"/>
      <c r="L740" s="63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63"/>
      <c r="K741" s="63"/>
      <c r="L741" s="63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63"/>
      <c r="K742" s="63"/>
      <c r="L742" s="63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63"/>
      <c r="K743" s="63"/>
      <c r="L743" s="63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63"/>
      <c r="K744" s="63"/>
      <c r="L744" s="63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63"/>
      <c r="K745" s="63"/>
      <c r="L745" s="63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63"/>
      <c r="K746" s="63"/>
      <c r="L746" s="63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63"/>
      <c r="K747" s="63"/>
      <c r="L747" s="63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63"/>
      <c r="K748" s="63"/>
      <c r="L748" s="63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63"/>
      <c r="K749" s="63"/>
      <c r="L749" s="63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63"/>
      <c r="K750" s="63"/>
      <c r="L750" s="63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63"/>
      <c r="K751" s="63"/>
      <c r="L751" s="63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63"/>
      <c r="K752" s="63"/>
      <c r="L752" s="63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63"/>
      <c r="K753" s="63"/>
      <c r="L753" s="63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63"/>
      <c r="K754" s="63"/>
      <c r="L754" s="63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63"/>
      <c r="K755" s="63"/>
      <c r="L755" s="63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63"/>
      <c r="K756" s="63"/>
      <c r="L756" s="63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63"/>
      <c r="K757" s="63"/>
      <c r="L757" s="63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63"/>
      <c r="K758" s="63"/>
      <c r="L758" s="63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63"/>
      <c r="K759" s="63"/>
      <c r="L759" s="63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63"/>
      <c r="K760" s="63"/>
      <c r="L760" s="63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63"/>
      <c r="K761" s="63"/>
      <c r="L761" s="63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63"/>
      <c r="K762" s="63"/>
      <c r="L762" s="63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63"/>
      <c r="K763" s="63"/>
      <c r="L763" s="63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63"/>
      <c r="K764" s="63"/>
      <c r="L764" s="63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63"/>
      <c r="K765" s="63"/>
      <c r="L765" s="63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63"/>
      <c r="K766" s="63"/>
      <c r="L766" s="63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63"/>
      <c r="K767" s="63"/>
      <c r="L767" s="63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63"/>
      <c r="K768" s="63"/>
      <c r="L768" s="63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63"/>
      <c r="K769" s="63"/>
      <c r="L769" s="63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63"/>
      <c r="K770" s="63"/>
      <c r="L770" s="63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63"/>
      <c r="K771" s="63"/>
      <c r="L771" s="63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63"/>
      <c r="K772" s="63"/>
      <c r="L772" s="63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63"/>
      <c r="K773" s="63"/>
      <c r="L773" s="63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63"/>
      <c r="K774" s="63"/>
      <c r="L774" s="63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63"/>
      <c r="K775" s="63"/>
      <c r="L775" s="63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63"/>
      <c r="K776" s="63"/>
      <c r="L776" s="63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63"/>
      <c r="K777" s="63"/>
      <c r="L777" s="63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63"/>
      <c r="K778" s="63"/>
      <c r="L778" s="63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63"/>
      <c r="K779" s="63"/>
      <c r="L779" s="63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63"/>
      <c r="K780" s="63"/>
      <c r="L780" s="63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63"/>
      <c r="K781" s="63"/>
      <c r="L781" s="63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63"/>
      <c r="K782" s="63"/>
      <c r="L782" s="63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63"/>
      <c r="K783" s="63"/>
      <c r="L783" s="63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63"/>
      <c r="K784" s="63"/>
      <c r="L784" s="63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63"/>
      <c r="K785" s="63"/>
      <c r="L785" s="63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63"/>
      <c r="K786" s="63"/>
      <c r="L786" s="63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63"/>
      <c r="K787" s="63"/>
      <c r="L787" s="63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63"/>
      <c r="K788" s="63"/>
      <c r="L788" s="63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63"/>
      <c r="K789" s="63"/>
      <c r="L789" s="63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63"/>
      <c r="K790" s="63"/>
      <c r="L790" s="63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63"/>
      <c r="K791" s="63"/>
      <c r="L791" s="63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63"/>
      <c r="K792" s="63"/>
      <c r="L792" s="63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63"/>
      <c r="K793" s="63"/>
      <c r="L793" s="63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63"/>
      <c r="K794" s="63"/>
      <c r="L794" s="63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63"/>
      <c r="K795" s="63"/>
      <c r="L795" s="63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63"/>
      <c r="K796" s="63"/>
      <c r="L796" s="63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63"/>
      <c r="K797" s="63"/>
      <c r="L797" s="63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63"/>
      <c r="K798" s="63"/>
      <c r="L798" s="63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63"/>
      <c r="K799" s="63"/>
      <c r="L799" s="63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63"/>
      <c r="K800" s="63"/>
      <c r="L800" s="63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63"/>
      <c r="K801" s="63"/>
      <c r="L801" s="63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63"/>
      <c r="K802" s="63"/>
      <c r="L802" s="63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63"/>
      <c r="K803" s="63"/>
      <c r="L803" s="63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63"/>
      <c r="K804" s="63"/>
      <c r="L804" s="63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63"/>
      <c r="K805" s="63"/>
      <c r="L805" s="63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63"/>
      <c r="K806" s="63"/>
      <c r="L806" s="63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63"/>
      <c r="K807" s="63"/>
      <c r="L807" s="63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63"/>
      <c r="K808" s="63"/>
      <c r="L808" s="63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63"/>
      <c r="K809" s="63"/>
      <c r="L809" s="63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63"/>
      <c r="K810" s="63"/>
      <c r="L810" s="63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63"/>
      <c r="K811" s="63"/>
      <c r="L811" s="63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63"/>
      <c r="K812" s="63"/>
      <c r="L812" s="63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63"/>
      <c r="K813" s="63"/>
      <c r="L813" s="63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63"/>
      <c r="K814" s="63"/>
      <c r="L814" s="63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63"/>
      <c r="K815" s="63"/>
      <c r="L815" s="63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63"/>
      <c r="K816" s="63"/>
      <c r="L816" s="63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63"/>
      <c r="K817" s="63"/>
      <c r="L817" s="63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63"/>
      <c r="K818" s="63"/>
      <c r="L818" s="63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63"/>
      <c r="K819" s="63"/>
      <c r="L819" s="63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63"/>
      <c r="K820" s="63"/>
      <c r="L820" s="63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63"/>
      <c r="K821" s="63"/>
      <c r="L821" s="63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63"/>
      <c r="K822" s="63"/>
      <c r="L822" s="63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63"/>
      <c r="K823" s="63"/>
      <c r="L823" s="63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63"/>
      <c r="K824" s="63"/>
      <c r="L824" s="63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63"/>
      <c r="K825" s="63"/>
      <c r="L825" s="63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63"/>
      <c r="K826" s="63"/>
      <c r="L826" s="63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63"/>
      <c r="K827" s="63"/>
      <c r="L827" s="63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63"/>
      <c r="K828" s="63"/>
      <c r="L828" s="63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63"/>
      <c r="K829" s="63"/>
      <c r="L829" s="63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63"/>
      <c r="K830" s="63"/>
      <c r="L830" s="63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63"/>
      <c r="K831" s="63"/>
      <c r="L831" s="63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63"/>
      <c r="K832" s="63"/>
      <c r="L832" s="63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63"/>
      <c r="K833" s="63"/>
      <c r="L833" s="63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63"/>
      <c r="K834" s="63"/>
      <c r="L834" s="63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63"/>
      <c r="K835" s="63"/>
      <c r="L835" s="63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63"/>
      <c r="K836" s="63"/>
      <c r="L836" s="63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63"/>
      <c r="K837" s="63"/>
      <c r="L837" s="63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63"/>
      <c r="K838" s="63"/>
      <c r="L838" s="63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63"/>
      <c r="K839" s="63"/>
      <c r="L839" s="63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63"/>
      <c r="K840" s="63"/>
      <c r="L840" s="63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63"/>
      <c r="K841" s="63"/>
      <c r="L841" s="63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63"/>
      <c r="K842" s="63"/>
      <c r="L842" s="63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63"/>
      <c r="K843" s="63"/>
      <c r="L843" s="63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63"/>
      <c r="K844" s="63"/>
      <c r="L844" s="63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63"/>
      <c r="K845" s="63"/>
      <c r="L845" s="63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63"/>
      <c r="K846" s="63"/>
      <c r="L846" s="63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63"/>
      <c r="K847" s="63"/>
      <c r="L847" s="63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63"/>
      <c r="K848" s="63"/>
      <c r="L848" s="63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63"/>
      <c r="K849" s="63"/>
      <c r="L849" s="63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63"/>
      <c r="K850" s="63"/>
      <c r="L850" s="63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63"/>
      <c r="K851" s="63"/>
      <c r="L851" s="63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63"/>
      <c r="K852" s="63"/>
      <c r="L852" s="63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63"/>
      <c r="K853" s="63"/>
      <c r="L853" s="63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63"/>
      <c r="K854" s="63"/>
      <c r="L854" s="63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63"/>
      <c r="K855" s="63"/>
      <c r="L855" s="63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63"/>
      <c r="K856" s="63"/>
      <c r="L856" s="63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63"/>
      <c r="K857" s="63"/>
      <c r="L857" s="63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63"/>
      <c r="K858" s="63"/>
      <c r="L858" s="63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63"/>
      <c r="K859" s="63"/>
      <c r="L859" s="63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63"/>
      <c r="K860" s="63"/>
      <c r="L860" s="63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63"/>
      <c r="K861" s="63"/>
      <c r="L861" s="63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63"/>
      <c r="K862" s="63"/>
      <c r="L862" s="63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63"/>
      <c r="K863" s="63"/>
      <c r="L863" s="63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63"/>
      <c r="K864" s="63"/>
      <c r="L864" s="63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63"/>
      <c r="K865" s="63"/>
      <c r="L865" s="63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63"/>
      <c r="K866" s="63"/>
      <c r="L866" s="63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63"/>
      <c r="K867" s="63"/>
      <c r="L867" s="63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63"/>
      <c r="K868" s="63"/>
      <c r="L868" s="63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63"/>
      <c r="K869" s="63"/>
      <c r="L869" s="63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63"/>
      <c r="K870" s="63"/>
      <c r="L870" s="63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63"/>
      <c r="K871" s="63"/>
      <c r="L871" s="63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63"/>
      <c r="K872" s="63"/>
      <c r="L872" s="63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63"/>
      <c r="K873" s="63"/>
      <c r="L873" s="63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63"/>
      <c r="K874" s="63"/>
      <c r="L874" s="63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63"/>
      <c r="K875" s="63"/>
      <c r="L875" s="63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63"/>
      <c r="K876" s="63"/>
      <c r="L876" s="63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63"/>
      <c r="K877" s="63"/>
      <c r="L877" s="63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63"/>
      <c r="K878" s="63"/>
      <c r="L878" s="63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63"/>
      <c r="K879" s="63"/>
      <c r="L879" s="63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63"/>
      <c r="K880" s="63"/>
      <c r="L880" s="63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63"/>
      <c r="K881" s="63"/>
      <c r="L881" s="63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63"/>
      <c r="K882" s="63"/>
      <c r="L882" s="63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63"/>
      <c r="K883" s="63"/>
      <c r="L883" s="63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63"/>
      <c r="K884" s="63"/>
      <c r="L884" s="63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63"/>
      <c r="K885" s="63"/>
      <c r="L885" s="63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63"/>
      <c r="K886" s="63"/>
      <c r="L886" s="63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63"/>
      <c r="K887" s="63"/>
      <c r="L887" s="63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63"/>
      <c r="K888" s="63"/>
      <c r="L888" s="63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63"/>
      <c r="K889" s="63"/>
      <c r="L889" s="63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63"/>
      <c r="K890" s="63"/>
      <c r="L890" s="63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63"/>
      <c r="K891" s="63"/>
      <c r="L891" s="63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63"/>
      <c r="K892" s="63"/>
      <c r="L892" s="63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63"/>
      <c r="K893" s="63"/>
      <c r="L893" s="63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63"/>
      <c r="K894" s="63"/>
      <c r="L894" s="63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63"/>
      <c r="K895" s="63"/>
      <c r="L895" s="63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63"/>
      <c r="K896" s="63"/>
      <c r="L896" s="63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63"/>
      <c r="K897" s="63"/>
      <c r="L897" s="63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63"/>
      <c r="K898" s="63"/>
      <c r="L898" s="63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63"/>
      <c r="K899" s="63"/>
      <c r="L899" s="63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63"/>
      <c r="K900" s="63"/>
      <c r="L900" s="63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63"/>
      <c r="K901" s="63"/>
      <c r="L901" s="63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63"/>
      <c r="K902" s="63"/>
      <c r="L902" s="63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63"/>
      <c r="K903" s="63"/>
      <c r="L903" s="63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63"/>
      <c r="K904" s="63"/>
      <c r="L904" s="63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63"/>
      <c r="K905" s="63"/>
      <c r="L905" s="63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63"/>
      <c r="K906" s="63"/>
      <c r="L906" s="63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63"/>
      <c r="K907" s="63"/>
      <c r="L907" s="63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63"/>
      <c r="K908" s="63"/>
      <c r="L908" s="63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63"/>
      <c r="K909" s="63"/>
      <c r="L909" s="63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63"/>
      <c r="K910" s="63"/>
      <c r="L910" s="63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63"/>
      <c r="K911" s="63"/>
      <c r="L911" s="63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63"/>
      <c r="K912" s="63"/>
      <c r="L912" s="63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63"/>
      <c r="K913" s="63"/>
      <c r="L913" s="63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63"/>
      <c r="K914" s="63"/>
      <c r="L914" s="63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63"/>
      <c r="K915" s="63"/>
      <c r="L915" s="63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63"/>
      <c r="K916" s="63"/>
      <c r="L916" s="63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63"/>
      <c r="K917" s="63"/>
      <c r="L917" s="63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63"/>
      <c r="K918" s="63"/>
      <c r="L918" s="63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63"/>
      <c r="K919" s="63"/>
      <c r="L919" s="63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63"/>
      <c r="K920" s="63"/>
      <c r="L920" s="63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63"/>
      <c r="K921" s="63"/>
      <c r="L921" s="63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63"/>
      <c r="K922" s="63"/>
      <c r="L922" s="63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63"/>
      <c r="K923" s="63"/>
      <c r="L923" s="63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63"/>
      <c r="K924" s="63"/>
      <c r="L924" s="63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63"/>
      <c r="K925" s="63"/>
      <c r="L925" s="63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63"/>
      <c r="K926" s="63"/>
      <c r="L926" s="63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63"/>
      <c r="K927" s="63"/>
      <c r="L927" s="63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63"/>
      <c r="K928" s="63"/>
      <c r="L928" s="63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63"/>
      <c r="K929" s="63"/>
      <c r="L929" s="63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63"/>
      <c r="K930" s="63"/>
      <c r="L930" s="63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63"/>
      <c r="K931" s="63"/>
      <c r="L931" s="63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63"/>
      <c r="K932" s="63"/>
      <c r="L932" s="63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63"/>
      <c r="K933" s="63"/>
      <c r="L933" s="63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63"/>
      <c r="K934" s="63"/>
      <c r="L934" s="63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63"/>
      <c r="K935" s="63"/>
      <c r="L935" s="63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63"/>
      <c r="K936" s="63"/>
      <c r="L936" s="63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63"/>
      <c r="K937" s="63"/>
      <c r="L937" s="63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63"/>
      <c r="K938" s="63"/>
      <c r="L938" s="63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63"/>
      <c r="K939" s="63"/>
      <c r="L939" s="63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63"/>
      <c r="K940" s="63"/>
      <c r="L940" s="63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63"/>
      <c r="K941" s="63"/>
      <c r="L941" s="63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63"/>
      <c r="K942" s="63"/>
      <c r="L942" s="63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63"/>
      <c r="K943" s="63"/>
      <c r="L943" s="63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63"/>
      <c r="K944" s="63"/>
      <c r="L944" s="63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63"/>
      <c r="K945" s="63"/>
      <c r="L945" s="63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63"/>
      <c r="K946" s="63"/>
      <c r="L946" s="63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63"/>
      <c r="K947" s="63"/>
      <c r="L947" s="63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63"/>
      <c r="K948" s="63"/>
      <c r="L948" s="63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63"/>
      <c r="K949" s="63"/>
      <c r="L949" s="63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63"/>
      <c r="K950" s="63"/>
      <c r="L950" s="63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63"/>
      <c r="K951" s="63"/>
      <c r="L951" s="63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63"/>
      <c r="K952" s="63"/>
      <c r="L952" s="63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63"/>
      <c r="K953" s="63"/>
      <c r="L953" s="63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63"/>
      <c r="K954" s="63"/>
      <c r="L954" s="63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63"/>
      <c r="K955" s="63"/>
      <c r="L955" s="63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63"/>
      <c r="K956" s="63"/>
      <c r="L956" s="63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63"/>
      <c r="K957" s="63"/>
      <c r="L957" s="63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63"/>
      <c r="K958" s="63"/>
      <c r="L958" s="63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63"/>
      <c r="K959" s="63"/>
      <c r="L959" s="63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63"/>
      <c r="K960" s="63"/>
      <c r="L960" s="63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63"/>
      <c r="K961" s="63"/>
      <c r="L961" s="63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63"/>
      <c r="K962" s="63"/>
      <c r="L962" s="63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63"/>
      <c r="K963" s="63"/>
      <c r="L963" s="63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63"/>
      <c r="K964" s="63"/>
      <c r="L964" s="63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63"/>
      <c r="K965" s="63"/>
      <c r="L965" s="63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63"/>
      <c r="K966" s="63"/>
      <c r="L966" s="63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63"/>
      <c r="K967" s="63"/>
      <c r="L967" s="63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63"/>
      <c r="K968" s="63"/>
      <c r="L968" s="63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63"/>
      <c r="K969" s="63"/>
      <c r="L969" s="63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63"/>
      <c r="K970" s="63"/>
      <c r="L970" s="63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63"/>
      <c r="K971" s="63"/>
      <c r="L971" s="63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63"/>
      <c r="K972" s="63"/>
      <c r="L972" s="63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63"/>
      <c r="K973" s="63"/>
      <c r="L973" s="63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63"/>
      <c r="K974" s="63"/>
      <c r="L974" s="63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63"/>
      <c r="K975" s="63"/>
      <c r="L975" s="63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63"/>
      <c r="K976" s="63"/>
      <c r="L976" s="63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63"/>
      <c r="K977" s="63"/>
      <c r="L977" s="63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63"/>
      <c r="K978" s="63"/>
      <c r="L978" s="63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63"/>
      <c r="K979" s="63"/>
      <c r="L979" s="63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63"/>
      <c r="K980" s="63"/>
      <c r="L980" s="63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63"/>
      <c r="K981" s="63"/>
      <c r="L981" s="63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63"/>
      <c r="K982" s="63"/>
      <c r="L982" s="63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63"/>
      <c r="K983" s="63"/>
      <c r="L983" s="63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63"/>
      <c r="K984" s="63"/>
      <c r="L984" s="63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63"/>
      <c r="K985" s="63"/>
      <c r="L985" s="63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63"/>
      <c r="K986" s="63"/>
      <c r="L986" s="63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63"/>
      <c r="K987" s="63"/>
      <c r="L987" s="63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63"/>
      <c r="K988" s="63"/>
      <c r="L988" s="63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63"/>
      <c r="K989" s="63"/>
      <c r="L989" s="63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63"/>
      <c r="K990" s="63"/>
      <c r="L990" s="63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63"/>
      <c r="K991" s="63"/>
      <c r="L991" s="63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63"/>
      <c r="K992" s="63"/>
      <c r="L992" s="63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63"/>
      <c r="K993" s="63"/>
      <c r="L993" s="63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63"/>
      <c r="K994" s="63"/>
      <c r="L994" s="63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63"/>
      <c r="K995" s="63"/>
      <c r="L995" s="63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63"/>
      <c r="K996" s="63"/>
      <c r="L996" s="63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63"/>
      <c r="K997" s="63"/>
      <c r="L997" s="63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63"/>
      <c r="K998" s="63"/>
      <c r="L998" s="63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63"/>
      <c r="K999" s="63"/>
      <c r="L999" s="63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63"/>
      <c r="K1000" s="63"/>
      <c r="L1000" s="63"/>
      <c r="M1000" s="3"/>
      <c r="N1000" s="3"/>
      <c r="O1000" s="3"/>
      <c r="Q1000" s="4"/>
      <c r="R1000" s="5"/>
      <c r="S1000" s="5"/>
    </row>
  </sheetData>
  <sheetProtection password="CC27" sheet="1" objects="1" scenarios="1"/>
  <mergeCells count="6">
    <mergeCell ref="D23:K23"/>
    <mergeCell ref="B2:S2"/>
    <mergeCell ref="M3:O3"/>
    <mergeCell ref="Q3:S3"/>
    <mergeCell ref="J4:L4"/>
    <mergeCell ref="D21:K21"/>
  </mergeCells>
  <pageMargins left="0.511811024" right="0.511811024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topLeftCell="A2" workbookViewId="0">
      <selection activeCell="F19" sqref="F19"/>
    </sheetView>
  </sheetViews>
  <sheetFormatPr defaultColWidth="14.42578125" defaultRowHeight="15" customHeight="1"/>
  <cols>
    <col min="1" max="1" width="2.7109375" customWidth="1"/>
    <col min="2" max="2" width="7.42578125" customWidth="1"/>
    <col min="3" max="3" width="22.7109375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45.140625" customWidth="1"/>
    <col min="9" max="9" width="25.5703125" customWidth="1"/>
    <col min="10" max="12" width="9.140625" customWidth="1"/>
    <col min="13" max="13" width="14.5703125" customWidth="1"/>
    <col min="14" max="15" width="14.85546875" customWidth="1"/>
    <col min="16" max="16" width="16" customWidth="1"/>
    <col min="17" max="17" width="16.28515625" customWidth="1"/>
    <col min="18" max="18" width="14.85546875" customWidth="1"/>
    <col min="19" max="19" width="18" customWidth="1"/>
    <col min="20" max="37" width="8.7109375" customWidth="1"/>
  </cols>
  <sheetData>
    <row r="1" spans="1:37">
      <c r="C1" s="1"/>
      <c r="I1" s="2"/>
      <c r="J1" s="63"/>
      <c r="K1" s="63"/>
      <c r="L1" s="63"/>
      <c r="M1" s="3"/>
      <c r="N1" s="3"/>
      <c r="O1" s="3"/>
      <c r="Q1" s="4"/>
      <c r="R1" s="5"/>
      <c r="S1" s="5"/>
    </row>
    <row r="2" spans="1:37" ht="22.5" customHeight="1">
      <c r="B2" s="312" t="s">
        <v>33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</row>
    <row r="3" spans="1:37" ht="32.25" customHeight="1">
      <c r="A3" s="6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14" t="s">
        <v>1</v>
      </c>
      <c r="N3" s="308"/>
      <c r="O3" s="309"/>
      <c r="P3" s="65" t="s">
        <v>34</v>
      </c>
      <c r="Q3" s="315" t="s">
        <v>35</v>
      </c>
      <c r="R3" s="308"/>
      <c r="S3" s="30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5.5">
      <c r="B4" s="66" t="s">
        <v>36</v>
      </c>
      <c r="C4" s="67" t="s">
        <v>37</v>
      </c>
      <c r="D4" s="68" t="s">
        <v>38</v>
      </c>
      <c r="E4" s="66" t="s">
        <v>39</v>
      </c>
      <c r="F4" s="69" t="s">
        <v>40</v>
      </c>
      <c r="G4" s="70" t="s">
        <v>41</v>
      </c>
      <c r="H4" s="69" t="s">
        <v>42</v>
      </c>
      <c r="I4" s="69" t="s">
        <v>43</v>
      </c>
      <c r="J4" s="316" t="s">
        <v>44</v>
      </c>
      <c r="K4" s="317"/>
      <c r="L4" s="318"/>
      <c r="M4" s="71" t="s">
        <v>5</v>
      </c>
      <c r="N4" s="72" t="s">
        <v>6</v>
      </c>
      <c r="O4" s="72" t="s">
        <v>7</v>
      </c>
      <c r="P4" s="72" t="s">
        <v>45</v>
      </c>
      <c r="Q4" s="73" t="s">
        <v>9</v>
      </c>
      <c r="R4" s="73" t="s">
        <v>10</v>
      </c>
      <c r="S4" s="74" t="s">
        <v>46</v>
      </c>
    </row>
    <row r="5" spans="1:37">
      <c r="A5" s="21"/>
      <c r="B5" s="75">
        <v>1</v>
      </c>
      <c r="C5" s="76" t="s">
        <v>47</v>
      </c>
      <c r="D5" s="77" t="s">
        <v>48</v>
      </c>
      <c r="E5" s="78" t="s">
        <v>873</v>
      </c>
      <c r="F5" s="79" t="s">
        <v>50</v>
      </c>
      <c r="G5" s="80" t="s">
        <v>51</v>
      </c>
      <c r="H5" s="81" t="str">
        <f t="shared" ref="H5:H17" si="0">UPPER(G5)</f>
        <v>REUNIÃO DO CONSELHO DE ADMINISTRAÇÃO DO HCPA.</v>
      </c>
      <c r="I5" s="82" t="s">
        <v>52</v>
      </c>
      <c r="J5" s="83">
        <v>43466</v>
      </c>
      <c r="K5" s="84">
        <v>21</v>
      </c>
      <c r="L5" s="84">
        <v>21</v>
      </c>
      <c r="M5" s="274">
        <v>0</v>
      </c>
      <c r="N5" s="274">
        <v>0</v>
      </c>
      <c r="O5" s="274"/>
      <c r="P5" s="275">
        <v>0</v>
      </c>
      <c r="Q5" s="276">
        <v>1692.37</v>
      </c>
      <c r="R5" s="277">
        <v>0</v>
      </c>
      <c r="S5" s="278">
        <f t="shared" ref="S5:S17" si="1">M5+N5+O5+P5+Q5+R5</f>
        <v>1692.37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>
      <c r="A6" s="21"/>
      <c r="B6" s="86">
        <v>2</v>
      </c>
      <c r="C6" s="87" t="s">
        <v>53</v>
      </c>
      <c r="D6" s="88" t="s">
        <v>54</v>
      </c>
      <c r="E6" s="89" t="s">
        <v>874</v>
      </c>
      <c r="F6" s="90" t="s">
        <v>50</v>
      </c>
      <c r="G6" s="91" t="s">
        <v>51</v>
      </c>
      <c r="H6" s="92" t="str">
        <f t="shared" si="0"/>
        <v>REUNIÃO DO CONSELHO DE ADMINISTRAÇÃO DO HCPA.</v>
      </c>
      <c r="I6" s="93" t="s">
        <v>52</v>
      </c>
      <c r="J6" s="94">
        <v>43466</v>
      </c>
      <c r="K6" s="95">
        <v>21</v>
      </c>
      <c r="L6" s="95">
        <v>21</v>
      </c>
      <c r="M6" s="279">
        <v>0</v>
      </c>
      <c r="N6" s="279">
        <v>0</v>
      </c>
      <c r="O6" s="279"/>
      <c r="P6" s="280">
        <v>0</v>
      </c>
      <c r="Q6" s="281">
        <v>1692.37</v>
      </c>
      <c r="R6" s="282">
        <v>0</v>
      </c>
      <c r="S6" s="283">
        <f t="shared" si="1"/>
        <v>1692.37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>
      <c r="A7" s="21"/>
      <c r="B7" s="86">
        <v>3</v>
      </c>
      <c r="C7" s="97" t="s">
        <v>55</v>
      </c>
      <c r="D7" s="98" t="s">
        <v>56</v>
      </c>
      <c r="E7" s="89" t="s">
        <v>875</v>
      </c>
      <c r="F7" s="90" t="s">
        <v>57</v>
      </c>
      <c r="G7" s="91" t="s">
        <v>58</v>
      </c>
      <c r="H7" s="92" t="str">
        <f t="shared" si="0"/>
        <v>REUNIÃO DO CONSELHO FISCAL DO HCPA.</v>
      </c>
      <c r="I7" s="93" t="s">
        <v>52</v>
      </c>
      <c r="J7" s="94">
        <v>43466</v>
      </c>
      <c r="K7" s="92">
        <v>24</v>
      </c>
      <c r="L7" s="92">
        <v>25</v>
      </c>
      <c r="M7" s="279">
        <v>0</v>
      </c>
      <c r="N7" s="279">
        <v>97</v>
      </c>
      <c r="O7" s="279"/>
      <c r="P7" s="280">
        <f>36.64+31+30+11.16</f>
        <v>108.8</v>
      </c>
      <c r="Q7" s="281">
        <f>744.39+1058.98</f>
        <v>1803.37</v>
      </c>
      <c r="R7" s="282">
        <f>238.7+74.15+238.7+6.5</f>
        <v>558.04999999999995</v>
      </c>
      <c r="S7" s="283">
        <f t="shared" si="1"/>
        <v>2567.2199999999998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>
      <c r="A8" s="21"/>
      <c r="B8" s="86">
        <v>4</v>
      </c>
      <c r="C8" s="97" t="s">
        <v>59</v>
      </c>
      <c r="D8" s="98" t="s">
        <v>60</v>
      </c>
      <c r="E8" s="89" t="s">
        <v>876</v>
      </c>
      <c r="F8" s="90" t="s">
        <v>57</v>
      </c>
      <c r="G8" s="91" t="s">
        <v>58</v>
      </c>
      <c r="H8" s="92" t="str">
        <f t="shared" si="0"/>
        <v>REUNIÃO DO CONSELHO FISCAL DO HCPA.</v>
      </c>
      <c r="I8" s="93" t="s">
        <v>52</v>
      </c>
      <c r="J8" s="94">
        <v>43466</v>
      </c>
      <c r="K8" s="92">
        <v>22</v>
      </c>
      <c r="L8" s="92">
        <v>25</v>
      </c>
      <c r="M8" s="279">
        <v>0</v>
      </c>
      <c r="N8" s="279">
        <f>213.36+90.49</f>
        <v>303.85000000000002</v>
      </c>
      <c r="O8" s="279"/>
      <c r="P8" s="280">
        <f>42.88+14.54+19.22+51.93+63.82+12.46+8.04+12.98</f>
        <v>225.86999999999998</v>
      </c>
      <c r="Q8" s="281">
        <f>1123.98+855.39</f>
        <v>1979.37</v>
      </c>
      <c r="R8" s="282">
        <f>716.1+338.8+238.7+13.65</f>
        <v>1307.2500000000002</v>
      </c>
      <c r="S8" s="283">
        <f t="shared" si="1"/>
        <v>3816.34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>
      <c r="A9" s="21"/>
      <c r="B9" s="86">
        <v>5</v>
      </c>
      <c r="C9" s="97" t="s">
        <v>61</v>
      </c>
      <c r="D9" s="98" t="s">
        <v>62</v>
      </c>
      <c r="E9" s="89" t="s">
        <v>877</v>
      </c>
      <c r="F9" s="90" t="s">
        <v>57</v>
      </c>
      <c r="G9" s="91" t="s">
        <v>58</v>
      </c>
      <c r="H9" s="92" t="str">
        <f t="shared" si="0"/>
        <v>REUNIÃO DO CONSELHO FISCAL DO HCPA.</v>
      </c>
      <c r="I9" s="93" t="s">
        <v>52</v>
      </c>
      <c r="J9" s="94">
        <v>43466</v>
      </c>
      <c r="K9" s="92">
        <v>24</v>
      </c>
      <c r="L9" s="92">
        <v>25</v>
      </c>
      <c r="M9" s="279">
        <v>0</v>
      </c>
      <c r="N9" s="279">
        <v>0</v>
      </c>
      <c r="O9" s="279"/>
      <c r="P9" s="280">
        <v>0</v>
      </c>
      <c r="Q9" s="281">
        <f>744.39+1058.98</f>
        <v>1803.37</v>
      </c>
      <c r="R9" s="282">
        <v>238.7</v>
      </c>
      <c r="S9" s="283">
        <f t="shared" si="1"/>
        <v>2042.07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34.5" customHeight="1">
      <c r="A10" s="21"/>
      <c r="B10" s="86">
        <v>6</v>
      </c>
      <c r="C10" s="97" t="s">
        <v>63</v>
      </c>
      <c r="D10" s="99" t="s">
        <v>64</v>
      </c>
      <c r="E10" s="89" t="s">
        <v>878</v>
      </c>
      <c r="F10" s="100" t="s">
        <v>65</v>
      </c>
      <c r="G10" s="101" t="s">
        <v>66</v>
      </c>
      <c r="H10" s="102" t="str">
        <f t="shared" si="0"/>
        <v>ACOMPANHAR DESLOCAMENTO DE PACIENTE DO PROGR. REABIL. INTESTINAL (PRICA) E PASSAR ORIENTAÇÕES DE CUIDADOS Á PROFISSIONAIS E FAMILIARES NA CIDADE.</v>
      </c>
      <c r="I10" s="93" t="s">
        <v>67</v>
      </c>
      <c r="J10" s="103">
        <v>43466</v>
      </c>
      <c r="K10" s="95">
        <v>18</v>
      </c>
      <c r="L10" s="95">
        <v>18</v>
      </c>
      <c r="M10" s="279">
        <v>0</v>
      </c>
      <c r="N10" s="279">
        <v>0</v>
      </c>
      <c r="O10" s="279"/>
      <c r="P10" s="280">
        <v>0</v>
      </c>
      <c r="Q10" s="281">
        <v>1690.4449999999999</v>
      </c>
      <c r="R10" s="282">
        <v>0</v>
      </c>
      <c r="S10" s="283">
        <f t="shared" si="1"/>
        <v>1690.4449999999999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34.5">
      <c r="A11" s="21"/>
      <c r="B11" s="86">
        <v>7</v>
      </c>
      <c r="C11" s="97" t="s">
        <v>68</v>
      </c>
      <c r="D11" s="99" t="s">
        <v>69</v>
      </c>
      <c r="E11" s="89" t="s">
        <v>879</v>
      </c>
      <c r="F11" s="90" t="s">
        <v>70</v>
      </c>
      <c r="G11" s="101" t="s">
        <v>71</v>
      </c>
      <c r="H11" s="102" t="str">
        <f t="shared" si="0"/>
        <v>MINISTRAR TREINAMENTO - PROJETO AGHUSE - HOSPITAL MILITAR DO EXÉRCITO - MÓDULO DE MANUTENÇÃO.</v>
      </c>
      <c r="I11" s="93" t="s">
        <v>72</v>
      </c>
      <c r="J11" s="103">
        <v>43466</v>
      </c>
      <c r="K11" s="95">
        <v>23</v>
      </c>
      <c r="L11" s="95">
        <v>25</v>
      </c>
      <c r="M11" s="279">
        <v>0</v>
      </c>
      <c r="N11" s="279">
        <v>65.87</v>
      </c>
      <c r="O11" s="279"/>
      <c r="P11" s="280">
        <f>32+46+25+31+22+29+24+28</f>
        <v>237</v>
      </c>
      <c r="Q11" s="281">
        <v>1459.37</v>
      </c>
      <c r="R11" s="282">
        <f>565.51+128.7</f>
        <v>694.21</v>
      </c>
      <c r="S11" s="283">
        <f t="shared" si="1"/>
        <v>2456.4499999999998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34.5">
      <c r="A12" s="21"/>
      <c r="B12" s="86">
        <v>8</v>
      </c>
      <c r="C12" s="87" t="s">
        <v>73</v>
      </c>
      <c r="D12" s="99" t="s">
        <v>74</v>
      </c>
      <c r="E12" s="89" t="s">
        <v>880</v>
      </c>
      <c r="F12" s="100" t="s">
        <v>75</v>
      </c>
      <c r="G12" s="101" t="s">
        <v>71</v>
      </c>
      <c r="H12" s="102" t="str">
        <f t="shared" si="0"/>
        <v>MINISTRAR TREINAMENTO - PROJETO AGHUSE - HOSPITAL MILITAR DO EXÉRCITO - MÓDULO DE MANUTENÇÃO.</v>
      </c>
      <c r="I12" s="93" t="s">
        <v>72</v>
      </c>
      <c r="J12" s="103">
        <v>43466</v>
      </c>
      <c r="K12" s="95">
        <v>23</v>
      </c>
      <c r="L12" s="95">
        <v>25</v>
      </c>
      <c r="M12" s="279">
        <v>0</v>
      </c>
      <c r="N12" s="279">
        <v>51.02</v>
      </c>
      <c r="O12" s="279"/>
      <c r="P12" s="280">
        <v>0</v>
      </c>
      <c r="Q12" s="281">
        <v>1459.37</v>
      </c>
      <c r="R12" s="282">
        <f>563.2+123.2</f>
        <v>686.40000000000009</v>
      </c>
      <c r="S12" s="283">
        <f t="shared" si="1"/>
        <v>2196.79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23.25">
      <c r="A13" s="21"/>
      <c r="B13" s="86">
        <v>9</v>
      </c>
      <c r="C13" s="87" t="s">
        <v>76</v>
      </c>
      <c r="D13" s="98" t="s">
        <v>77</v>
      </c>
      <c r="E13" s="89" t="s">
        <v>881</v>
      </c>
      <c r="F13" s="104" t="s">
        <v>78</v>
      </c>
      <c r="G13" s="105" t="s">
        <v>79</v>
      </c>
      <c r="H13" s="102" t="str">
        <f t="shared" si="0"/>
        <v>CONVÊNIO HCPA/FMSRGS-AGHUSE - BNDES - VISTA HOSPITAL UNIVERSITÁRIO JUIZ DE FORA.</v>
      </c>
      <c r="I13" s="93" t="s">
        <v>80</v>
      </c>
      <c r="J13" s="103">
        <v>43497</v>
      </c>
      <c r="K13" s="95">
        <v>3</v>
      </c>
      <c r="L13" s="95">
        <v>4</v>
      </c>
      <c r="M13" s="279">
        <v>200</v>
      </c>
      <c r="N13" s="279">
        <v>160.19</v>
      </c>
      <c r="O13" s="279"/>
      <c r="P13" s="280">
        <v>0</v>
      </c>
      <c r="Q13" s="281">
        <f t="shared" ref="Q13:Q14" si="2">1265.98+845.17</f>
        <v>2111.15</v>
      </c>
      <c r="R13" s="282">
        <f>122.85+3</f>
        <v>125.85</v>
      </c>
      <c r="S13" s="283">
        <f t="shared" si="1"/>
        <v>2597.19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23.25">
      <c r="A14" s="21"/>
      <c r="B14" s="86">
        <v>10</v>
      </c>
      <c r="C14" s="87" t="s">
        <v>81</v>
      </c>
      <c r="D14" s="98" t="s">
        <v>82</v>
      </c>
      <c r="E14" s="89" t="s">
        <v>882</v>
      </c>
      <c r="F14" s="104" t="s">
        <v>78</v>
      </c>
      <c r="G14" s="105" t="s">
        <v>79</v>
      </c>
      <c r="H14" s="102" t="str">
        <f t="shared" si="0"/>
        <v>CONVÊNIO HCPA/FMSRGS-AGHUSE - BNDES - VISTA HOSPITAL UNIVERSITÁRIO JUIZ DE FORA.</v>
      </c>
      <c r="I14" s="93" t="s">
        <v>80</v>
      </c>
      <c r="J14" s="103">
        <v>43497</v>
      </c>
      <c r="K14" s="95">
        <v>3</v>
      </c>
      <c r="L14" s="95">
        <v>4</v>
      </c>
      <c r="M14" s="279">
        <v>167.01</v>
      </c>
      <c r="N14" s="279">
        <v>71.64</v>
      </c>
      <c r="O14" s="279"/>
      <c r="P14" s="280">
        <v>0</v>
      </c>
      <c r="Q14" s="281">
        <f t="shared" si="2"/>
        <v>2111.15</v>
      </c>
      <c r="R14" s="282">
        <f>122.85+4</f>
        <v>126.85</v>
      </c>
      <c r="S14" s="283">
        <f t="shared" si="1"/>
        <v>2476.65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ht="34.5">
      <c r="A15" s="21"/>
      <c r="B15" s="86">
        <v>11</v>
      </c>
      <c r="C15" s="87" t="s">
        <v>83</v>
      </c>
      <c r="D15" s="98" t="s">
        <v>84</v>
      </c>
      <c r="E15" s="89" t="s">
        <v>883</v>
      </c>
      <c r="F15" s="100" t="s">
        <v>85</v>
      </c>
      <c r="G15" s="101" t="s">
        <v>86</v>
      </c>
      <c r="H15" s="102" t="str">
        <f t="shared" si="0"/>
        <v>APRESENTAÇÃO AOS SUPERINTENDENTES DOS HUFS, DA NOVA DIRETORIA EXECUTIVA DA EBSERH.</v>
      </c>
      <c r="I15" s="93" t="s">
        <v>72</v>
      </c>
      <c r="J15" s="103">
        <v>43466</v>
      </c>
      <c r="K15" s="95">
        <v>30</v>
      </c>
      <c r="L15" s="95">
        <v>30</v>
      </c>
      <c r="M15" s="279">
        <v>0</v>
      </c>
      <c r="N15" s="279">
        <v>0</v>
      </c>
      <c r="O15" s="279"/>
      <c r="P15" s="280">
        <v>0</v>
      </c>
      <c r="Q15" s="281">
        <f>1694.37+60</f>
        <v>1754.37</v>
      </c>
      <c r="R15" s="282">
        <v>500</v>
      </c>
      <c r="S15" s="283">
        <f t="shared" si="1"/>
        <v>2254.37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23.25">
      <c r="A16" s="21"/>
      <c r="B16" s="86">
        <v>12</v>
      </c>
      <c r="C16" s="87" t="s">
        <v>87</v>
      </c>
      <c r="D16" s="98" t="s">
        <v>84</v>
      </c>
      <c r="E16" s="89" t="s">
        <v>883</v>
      </c>
      <c r="F16" s="90" t="s">
        <v>85</v>
      </c>
      <c r="G16" s="101" t="s">
        <v>88</v>
      </c>
      <c r="H16" s="102" t="str">
        <f t="shared" si="0"/>
        <v>PARTICIPAR DA SOLENIDADE DE INICIO DA NOVA GESTÃO DA EBSERH.</v>
      </c>
      <c r="I16" s="93" t="s">
        <v>72</v>
      </c>
      <c r="J16" s="103">
        <v>43466</v>
      </c>
      <c r="K16" s="95">
        <v>31</v>
      </c>
      <c r="L16" s="95">
        <v>31</v>
      </c>
      <c r="M16" s="279">
        <v>0</v>
      </c>
      <c r="N16" s="279">
        <v>0</v>
      </c>
      <c r="O16" s="279"/>
      <c r="P16" s="280">
        <v>0</v>
      </c>
      <c r="Q16" s="281">
        <f>2272.37+90</f>
        <v>2362.37</v>
      </c>
      <c r="R16" s="282">
        <v>500</v>
      </c>
      <c r="S16" s="283">
        <f t="shared" si="1"/>
        <v>2862.37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34.5">
      <c r="A17" s="21"/>
      <c r="B17" s="106">
        <v>13</v>
      </c>
      <c r="C17" s="107" t="s">
        <v>89</v>
      </c>
      <c r="D17" s="108" t="s">
        <v>90</v>
      </c>
      <c r="E17" s="109" t="s">
        <v>884</v>
      </c>
      <c r="F17" s="110" t="s">
        <v>91</v>
      </c>
      <c r="G17" s="111" t="s">
        <v>92</v>
      </c>
      <c r="H17" s="112" t="str">
        <f t="shared" si="0"/>
        <v>MINISTRAR TREINAMENTO - PROJETO AGHUSE - SESAB - MÓDULO INTERN. ADM. E EMERGÊNCIA ADM.</v>
      </c>
      <c r="I17" s="113" t="s">
        <v>93</v>
      </c>
      <c r="J17" s="114">
        <v>43497</v>
      </c>
      <c r="K17" s="115">
        <v>10</v>
      </c>
      <c r="L17" s="115">
        <v>15</v>
      </c>
      <c r="M17" s="284">
        <v>185.26</v>
      </c>
      <c r="N17" s="284">
        <v>473.9</v>
      </c>
      <c r="O17" s="284"/>
      <c r="P17" s="285">
        <v>0</v>
      </c>
      <c r="Q17" s="286">
        <v>1949.96</v>
      </c>
      <c r="R17" s="287">
        <f>1333.51+12</f>
        <v>1345.51</v>
      </c>
      <c r="S17" s="288">
        <f t="shared" si="1"/>
        <v>3954.63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>
      <c r="A18" s="21"/>
      <c r="B18" s="34"/>
      <c r="C18" s="35"/>
      <c r="D18" s="36"/>
      <c r="E18" s="36"/>
      <c r="F18" s="36"/>
      <c r="G18" s="36"/>
      <c r="H18" s="36"/>
      <c r="I18" s="36"/>
      <c r="J18" s="120"/>
      <c r="K18" s="121"/>
      <c r="L18" s="121"/>
      <c r="M18" s="37"/>
      <c r="N18" s="37"/>
      <c r="O18" s="37"/>
      <c r="P18" s="22"/>
      <c r="Q18" s="38"/>
      <c r="R18" s="39"/>
      <c r="S18" s="40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5.75">
      <c r="A19" s="41"/>
      <c r="B19" s="122" t="s">
        <v>94</v>
      </c>
      <c r="C19" s="41"/>
      <c r="D19" s="123" t="s">
        <v>95</v>
      </c>
      <c r="E19" s="124"/>
      <c r="F19" s="41"/>
      <c r="G19" s="41"/>
      <c r="H19" s="41"/>
      <c r="I19" s="125"/>
      <c r="J19" s="41"/>
      <c r="K19" s="34"/>
      <c r="L19" s="41"/>
      <c r="M19" s="126">
        <f t="shared" ref="M19:R19" si="3">SUM(M5:M17)</f>
        <v>552.27</v>
      </c>
      <c r="N19" s="126">
        <f t="shared" si="3"/>
        <v>1223.47</v>
      </c>
      <c r="O19" s="126">
        <f t="shared" si="3"/>
        <v>0</v>
      </c>
      <c r="P19" s="127">
        <f t="shared" si="3"/>
        <v>571.66999999999996</v>
      </c>
      <c r="Q19" s="128">
        <f t="shared" si="3"/>
        <v>23869.034999999993</v>
      </c>
      <c r="R19" s="129">
        <f t="shared" si="3"/>
        <v>6082.82</v>
      </c>
      <c r="S19" s="46">
        <f>SUM(S5:S17)+P20</f>
        <v>32304.9817</v>
      </c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ht="15.75">
      <c r="A20" s="47"/>
      <c r="B20" s="47"/>
      <c r="C20" s="47"/>
      <c r="D20" s="310"/>
      <c r="E20" s="306"/>
      <c r="F20" s="306"/>
      <c r="G20" s="306"/>
      <c r="H20" s="306"/>
      <c r="I20" s="306"/>
      <c r="J20" s="306"/>
      <c r="K20" s="306"/>
      <c r="L20" s="47"/>
      <c r="M20" s="48"/>
      <c r="N20" s="130"/>
      <c r="O20" s="130" t="s">
        <v>94</v>
      </c>
      <c r="P20" s="22">
        <f>P19*1%</f>
        <v>5.7166999999999994</v>
      </c>
      <c r="Q20" s="47"/>
      <c r="R20" s="47"/>
      <c r="S20" s="52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</row>
    <row r="21" spans="1:37" ht="15.75" customHeight="1">
      <c r="A21" s="47"/>
      <c r="B21" s="47"/>
      <c r="C21" s="47"/>
      <c r="D21" s="47"/>
      <c r="E21" s="47"/>
      <c r="F21" s="47"/>
      <c r="G21" s="47"/>
      <c r="H21" s="47"/>
      <c r="I21" s="50"/>
      <c r="J21" s="47"/>
      <c r="K21" s="47"/>
      <c r="L21" s="47"/>
      <c r="M21" s="48"/>
      <c r="N21" s="48"/>
      <c r="O21" s="48"/>
      <c r="P21" s="131">
        <f>P19+P20</f>
        <v>577.38669999999991</v>
      </c>
      <c r="Q21" s="51"/>
      <c r="R21" s="52"/>
      <c r="S21" s="132" t="s">
        <v>96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</row>
    <row r="22" spans="1:37" ht="15.75" customHeight="1">
      <c r="A22" s="47"/>
      <c r="B22" s="47"/>
      <c r="C22" s="47"/>
      <c r="D22" s="311"/>
      <c r="E22" s="306"/>
      <c r="F22" s="306"/>
      <c r="G22" s="306"/>
      <c r="H22" s="306"/>
      <c r="I22" s="306"/>
      <c r="J22" s="306"/>
      <c r="K22" s="306"/>
      <c r="L22" s="47"/>
      <c r="M22" s="48"/>
      <c r="N22" s="48"/>
      <c r="O22" s="48"/>
      <c r="P22" s="22"/>
      <c r="Q22" s="4" t="s">
        <v>26</v>
      </c>
      <c r="R22" s="133">
        <f>M19+N19+O19+P21+Q19+R19</f>
        <v>32304.981699999993</v>
      </c>
      <c r="S22" s="56">
        <f>S19-R22</f>
        <v>0</v>
      </c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</row>
    <row r="23" spans="1:37" ht="15.75" customHeight="1">
      <c r="C23" s="1"/>
      <c r="D23" s="1"/>
      <c r="E23" s="1"/>
      <c r="F23" s="1"/>
      <c r="G23" s="1"/>
      <c r="H23" s="1"/>
      <c r="I23" s="2"/>
      <c r="J23" s="63"/>
      <c r="K23" s="63"/>
      <c r="L23" s="63"/>
      <c r="M23" s="3"/>
      <c r="N23" s="130"/>
      <c r="O23" s="130" t="s">
        <v>94</v>
      </c>
      <c r="P23" s="22" t="s">
        <v>97</v>
      </c>
      <c r="Q23" s="4"/>
      <c r="R23" s="5"/>
      <c r="S23" s="5"/>
    </row>
    <row r="24" spans="1:37" ht="15.75" customHeight="1">
      <c r="C24" s="1"/>
      <c r="D24" s="1"/>
      <c r="E24" s="1"/>
      <c r="F24" s="1"/>
      <c r="G24" s="1"/>
      <c r="H24" s="1"/>
      <c r="I24" s="2"/>
      <c r="J24" s="63"/>
      <c r="K24" s="63"/>
      <c r="L24" s="63"/>
      <c r="M24" s="3"/>
      <c r="N24" s="3"/>
      <c r="O24" s="3"/>
      <c r="P24" s="22"/>
      <c r="Q24" s="4"/>
      <c r="R24" s="5"/>
      <c r="S24" s="5"/>
    </row>
    <row r="25" spans="1:37" ht="15.75" customHeight="1">
      <c r="C25" s="1"/>
      <c r="D25" s="1"/>
      <c r="E25" s="1"/>
      <c r="F25" s="1"/>
      <c r="G25" s="1"/>
      <c r="H25" s="1"/>
      <c r="I25" s="2"/>
      <c r="J25" s="63"/>
      <c r="K25" s="63"/>
      <c r="L25" s="63"/>
      <c r="M25" s="3"/>
      <c r="N25" s="3"/>
      <c r="O25" s="3"/>
      <c r="P25" s="22"/>
      <c r="Q25" s="4"/>
      <c r="R25" s="5"/>
      <c r="S25" s="5"/>
    </row>
    <row r="26" spans="1:37" ht="15.75" customHeight="1">
      <c r="C26" s="1"/>
      <c r="D26" s="1"/>
      <c r="E26" s="1"/>
      <c r="F26" s="1"/>
      <c r="G26" s="1"/>
      <c r="H26" s="1"/>
      <c r="I26" s="2"/>
      <c r="J26" s="63"/>
      <c r="K26" s="63"/>
      <c r="L26" s="63"/>
      <c r="M26" s="3"/>
      <c r="N26" s="3"/>
      <c r="O26" s="3"/>
      <c r="P26" s="22"/>
      <c r="Q26" s="4"/>
      <c r="R26" s="5"/>
      <c r="S26" s="5"/>
    </row>
    <row r="27" spans="1:37" ht="15.75" customHeight="1">
      <c r="C27" s="1"/>
      <c r="D27" s="1"/>
      <c r="E27" s="1"/>
      <c r="F27" s="1"/>
      <c r="G27" s="1"/>
      <c r="H27" s="1"/>
      <c r="I27" s="2"/>
      <c r="J27" s="63"/>
      <c r="K27" s="63"/>
      <c r="L27" s="63"/>
      <c r="M27" s="3"/>
      <c r="N27" s="3"/>
      <c r="O27" s="3"/>
      <c r="P27" s="22"/>
      <c r="Q27" s="4"/>
      <c r="R27" s="5"/>
      <c r="S27" s="5"/>
    </row>
    <row r="28" spans="1:37" ht="15.75" customHeight="1">
      <c r="C28" s="1"/>
      <c r="D28" s="1"/>
      <c r="E28" s="1"/>
      <c r="F28" s="1"/>
      <c r="G28" s="1"/>
      <c r="H28" s="1"/>
      <c r="I28" s="2"/>
      <c r="J28" s="63"/>
      <c r="K28" s="63"/>
      <c r="L28" s="63"/>
      <c r="M28" s="3"/>
      <c r="N28" s="3"/>
      <c r="O28" s="3"/>
      <c r="P28" s="22"/>
      <c r="Q28" s="4"/>
      <c r="R28" s="5"/>
      <c r="S28" s="5"/>
    </row>
    <row r="29" spans="1:37" ht="15.75" customHeight="1">
      <c r="C29" s="1"/>
      <c r="D29" s="1"/>
      <c r="E29" s="1"/>
      <c r="F29" s="1"/>
      <c r="G29" s="1"/>
      <c r="H29" s="1"/>
      <c r="I29" s="2"/>
      <c r="J29" s="63"/>
      <c r="K29" s="63"/>
      <c r="L29" s="63"/>
      <c r="M29" s="3"/>
      <c r="N29" s="3"/>
      <c r="O29" s="3"/>
      <c r="P29" s="22"/>
      <c r="Q29" s="4"/>
      <c r="R29" s="5"/>
      <c r="S29" s="5"/>
    </row>
    <row r="30" spans="1:37" ht="15.75" customHeight="1">
      <c r="C30" s="1"/>
      <c r="D30" s="1"/>
      <c r="E30" s="1"/>
      <c r="F30" s="1"/>
      <c r="G30" s="1"/>
      <c r="H30" s="1"/>
      <c r="I30" s="2"/>
      <c r="J30" s="63"/>
      <c r="K30" s="63"/>
      <c r="L30" s="63"/>
      <c r="M30" s="3"/>
      <c r="N30" s="3"/>
      <c r="O30" s="3"/>
      <c r="P30" s="22"/>
      <c r="Q30" s="4"/>
      <c r="R30" s="5"/>
      <c r="S30" s="5"/>
    </row>
    <row r="31" spans="1:37" ht="15.75" customHeight="1">
      <c r="C31" s="1"/>
      <c r="I31" s="2"/>
      <c r="J31" s="63"/>
      <c r="K31" s="63"/>
      <c r="L31" s="63"/>
      <c r="M31" s="3"/>
      <c r="N31" s="3"/>
      <c r="O31" s="3"/>
      <c r="P31" s="22"/>
      <c r="Q31" s="4"/>
      <c r="R31" s="5"/>
      <c r="S31" s="5"/>
    </row>
    <row r="32" spans="1:37" ht="15.75" customHeight="1">
      <c r="C32" s="1"/>
      <c r="D32" s="1"/>
      <c r="E32" s="1"/>
      <c r="F32" s="1"/>
      <c r="G32" s="1"/>
      <c r="H32" s="1"/>
      <c r="I32" s="2"/>
      <c r="J32" s="63"/>
      <c r="K32" s="63"/>
      <c r="L32" s="63"/>
      <c r="M32" s="3"/>
      <c r="N32" s="3"/>
      <c r="O32" s="3"/>
      <c r="P32" s="22"/>
      <c r="Q32" s="4"/>
      <c r="R32" s="5"/>
      <c r="S32" s="5"/>
    </row>
    <row r="33" spans="3:19" ht="15.75" customHeight="1">
      <c r="C33" s="1"/>
      <c r="D33" s="1"/>
      <c r="E33" s="1"/>
      <c r="F33" s="1"/>
      <c r="G33" s="1"/>
      <c r="H33" s="1"/>
      <c r="I33" s="2"/>
      <c r="J33" s="63"/>
      <c r="K33" s="63"/>
      <c r="L33" s="63"/>
      <c r="M33" s="3"/>
      <c r="N33" s="3"/>
      <c r="O33" s="3"/>
      <c r="P33" s="134"/>
      <c r="Q33" s="4"/>
      <c r="R33" s="5"/>
      <c r="S33" s="5"/>
    </row>
    <row r="34" spans="3:19" ht="15.75" customHeight="1">
      <c r="C34" s="1"/>
      <c r="D34" s="1"/>
      <c r="E34" s="1"/>
      <c r="F34" s="1"/>
      <c r="G34" s="1"/>
      <c r="H34" s="1"/>
      <c r="I34" s="2"/>
      <c r="J34" s="63"/>
      <c r="K34" s="63"/>
      <c r="L34" s="63"/>
      <c r="M34" s="3"/>
      <c r="N34" s="3"/>
      <c r="O34" s="3"/>
      <c r="P34" s="47"/>
      <c r="Q34" s="4"/>
      <c r="R34" s="5"/>
      <c r="S34" s="5"/>
    </row>
    <row r="35" spans="3:19" ht="15.75" customHeight="1">
      <c r="C35" s="1"/>
      <c r="D35" s="1"/>
      <c r="E35" s="1"/>
      <c r="F35" s="1"/>
      <c r="G35" s="1"/>
      <c r="H35" s="1"/>
      <c r="I35" s="2"/>
      <c r="J35" s="63"/>
      <c r="K35" s="63"/>
      <c r="L35" s="63"/>
      <c r="M35" s="3"/>
      <c r="N35" s="3"/>
      <c r="O35" s="3"/>
      <c r="P35" s="47"/>
      <c r="Q35" s="4"/>
      <c r="R35" s="5"/>
      <c r="S35" s="5"/>
    </row>
    <row r="36" spans="3:19" ht="15.75" customHeight="1">
      <c r="C36" s="1"/>
      <c r="D36" s="1"/>
      <c r="E36" s="1"/>
      <c r="F36" s="1"/>
      <c r="G36" s="1"/>
      <c r="H36" s="1"/>
      <c r="I36" s="2"/>
      <c r="J36" s="63"/>
      <c r="K36" s="63"/>
      <c r="L36" s="63"/>
      <c r="M36" s="3"/>
      <c r="N36" s="3"/>
      <c r="O36" s="3"/>
      <c r="P36" s="47"/>
      <c r="Q36" s="4"/>
      <c r="R36" s="5"/>
      <c r="S36" s="5"/>
    </row>
    <row r="37" spans="3:19" ht="15.75" customHeight="1">
      <c r="C37" s="1"/>
      <c r="D37" s="1"/>
      <c r="E37" s="1"/>
      <c r="F37" s="1"/>
      <c r="G37" s="1"/>
      <c r="H37" s="1"/>
      <c r="I37" s="2"/>
      <c r="J37" s="63"/>
      <c r="K37" s="63"/>
      <c r="L37" s="63"/>
      <c r="M37" s="3"/>
      <c r="N37" s="3"/>
      <c r="O37" s="3"/>
      <c r="Q37" s="4"/>
      <c r="R37" s="5"/>
      <c r="S37" s="5"/>
    </row>
    <row r="38" spans="3:19" ht="15.75" customHeight="1">
      <c r="C38" s="1"/>
      <c r="D38" s="1"/>
      <c r="E38" s="1"/>
      <c r="F38" s="1"/>
      <c r="G38" s="1"/>
      <c r="H38" s="1"/>
      <c r="I38" s="2"/>
      <c r="J38" s="63"/>
      <c r="K38" s="63"/>
      <c r="L38" s="63"/>
      <c r="M38" s="3"/>
      <c r="N38" s="3"/>
      <c r="O38" s="3"/>
      <c r="Q38" s="4"/>
      <c r="R38" s="5"/>
      <c r="S38" s="5"/>
    </row>
    <row r="39" spans="3:19" ht="15.75" customHeight="1">
      <c r="C39" s="1"/>
      <c r="D39" s="1"/>
      <c r="E39" s="1"/>
      <c r="F39" s="1"/>
      <c r="G39" s="1"/>
      <c r="H39" s="1"/>
      <c r="I39" s="2"/>
      <c r="J39" s="63"/>
      <c r="K39" s="63"/>
      <c r="L39" s="63"/>
      <c r="M39" s="3"/>
      <c r="N39" s="3"/>
      <c r="O39" s="3"/>
      <c r="Q39" s="4"/>
      <c r="R39" s="5"/>
      <c r="S39" s="5"/>
    </row>
    <row r="40" spans="3:19" ht="15.75" customHeight="1">
      <c r="C40" s="1"/>
      <c r="D40" s="1"/>
      <c r="E40" s="1"/>
      <c r="F40" s="1"/>
      <c r="G40" s="1"/>
      <c r="H40" s="1"/>
      <c r="I40" s="2"/>
      <c r="J40" s="63"/>
      <c r="K40" s="63"/>
      <c r="L40" s="63"/>
      <c r="M40" s="3"/>
      <c r="N40" s="3"/>
      <c r="O40" s="3"/>
      <c r="Q40" s="4"/>
      <c r="R40" s="5"/>
      <c r="S40" s="5"/>
    </row>
    <row r="41" spans="3:19" ht="15.75" customHeight="1">
      <c r="C41" s="1"/>
      <c r="D41" s="1"/>
      <c r="E41" s="1"/>
      <c r="F41" s="1"/>
      <c r="G41" s="1"/>
      <c r="H41" s="1"/>
      <c r="I41" s="2"/>
      <c r="J41" s="63"/>
      <c r="K41" s="63"/>
      <c r="L41" s="63"/>
      <c r="M41" s="3"/>
      <c r="N41" s="3"/>
      <c r="O41" s="3"/>
      <c r="Q41" s="4"/>
      <c r="R41" s="5"/>
      <c r="S41" s="5"/>
    </row>
    <row r="42" spans="3:19" ht="15.75" customHeight="1">
      <c r="C42" s="1"/>
      <c r="D42" s="1"/>
      <c r="E42" s="1"/>
      <c r="F42" s="1"/>
      <c r="G42" s="1"/>
      <c r="H42" s="1"/>
      <c r="I42" s="2"/>
      <c r="J42" s="63"/>
      <c r="K42" s="63"/>
      <c r="L42" s="63"/>
      <c r="M42" s="3"/>
      <c r="N42" s="3"/>
      <c r="O42" s="3"/>
      <c r="Q42" s="4"/>
      <c r="R42" s="5"/>
      <c r="S42" s="5"/>
    </row>
    <row r="43" spans="3:19" ht="15.75" customHeight="1">
      <c r="C43" s="1"/>
      <c r="D43" s="1"/>
      <c r="E43" s="1"/>
      <c r="F43" s="1"/>
      <c r="G43" s="1"/>
      <c r="H43" s="1"/>
      <c r="I43" s="2"/>
      <c r="J43" s="63"/>
      <c r="K43" s="63"/>
      <c r="L43" s="63"/>
      <c r="M43" s="3"/>
      <c r="N43" s="3"/>
      <c r="O43" s="3"/>
      <c r="Q43" s="4"/>
      <c r="R43" s="5"/>
      <c r="S43" s="5"/>
    </row>
    <row r="44" spans="3:19" ht="15.75" customHeight="1">
      <c r="C44" s="1"/>
      <c r="D44" s="1"/>
      <c r="E44" s="1"/>
      <c r="F44" s="1"/>
      <c r="G44" s="1"/>
      <c r="H44" s="1"/>
      <c r="I44" s="2"/>
      <c r="J44" s="63"/>
      <c r="K44" s="63"/>
      <c r="L44" s="63"/>
      <c r="M44" s="3"/>
      <c r="N44" s="3"/>
      <c r="O44" s="3"/>
      <c r="Q44" s="4"/>
      <c r="R44" s="5"/>
      <c r="S44" s="5"/>
    </row>
    <row r="45" spans="3:19" ht="15.75" customHeight="1">
      <c r="C45" s="1"/>
      <c r="D45" s="1"/>
      <c r="E45" s="1"/>
      <c r="F45" s="1"/>
      <c r="G45" s="1"/>
      <c r="H45" s="1"/>
      <c r="I45" s="2"/>
      <c r="J45" s="63"/>
      <c r="K45" s="63"/>
      <c r="L45" s="63"/>
      <c r="M45" s="3"/>
      <c r="N45" s="3"/>
      <c r="O45" s="3"/>
      <c r="Q45" s="4"/>
      <c r="R45" s="5"/>
      <c r="S45" s="5"/>
    </row>
    <row r="46" spans="3:19" ht="15.75" customHeight="1">
      <c r="C46" s="1"/>
      <c r="D46" s="1"/>
      <c r="E46" s="1"/>
      <c r="F46" s="1"/>
      <c r="G46" s="1"/>
      <c r="H46" s="1"/>
      <c r="I46" s="2"/>
      <c r="J46" s="63"/>
      <c r="K46" s="63"/>
      <c r="L46" s="63"/>
      <c r="M46" s="3"/>
      <c r="N46" s="3"/>
      <c r="O46" s="3"/>
      <c r="Q46" s="4"/>
      <c r="R46" s="5"/>
      <c r="S46" s="5"/>
    </row>
    <row r="47" spans="3:19" ht="15.75" customHeight="1">
      <c r="C47" s="1"/>
      <c r="D47" s="1"/>
      <c r="E47" s="1"/>
      <c r="F47" s="1"/>
      <c r="G47" s="1"/>
      <c r="H47" s="1"/>
      <c r="I47" s="2"/>
      <c r="J47" s="63"/>
      <c r="K47" s="63"/>
      <c r="L47" s="63"/>
      <c r="M47" s="3"/>
      <c r="N47" s="3"/>
      <c r="O47" s="3"/>
      <c r="Q47" s="4"/>
      <c r="R47" s="5"/>
      <c r="S47" s="5"/>
    </row>
    <row r="48" spans="3:19" ht="15.75" customHeight="1">
      <c r="C48" s="1"/>
      <c r="D48" s="1"/>
      <c r="E48" s="1"/>
      <c r="F48" s="1"/>
      <c r="G48" s="1"/>
      <c r="H48" s="1"/>
      <c r="I48" s="2"/>
      <c r="J48" s="63"/>
      <c r="K48" s="63"/>
      <c r="L48" s="63"/>
      <c r="M48" s="3"/>
      <c r="N48" s="3"/>
      <c r="O48" s="3"/>
      <c r="Q48" s="4"/>
      <c r="R48" s="5"/>
      <c r="S48" s="5"/>
    </row>
    <row r="49" spans="3:19" ht="15.75" customHeight="1">
      <c r="C49" s="1"/>
      <c r="D49" s="1"/>
      <c r="E49" s="1"/>
      <c r="F49" s="1"/>
      <c r="G49" s="1"/>
      <c r="H49" s="1"/>
      <c r="I49" s="2"/>
      <c r="J49" s="63"/>
      <c r="K49" s="63"/>
      <c r="L49" s="63"/>
      <c r="M49" s="3"/>
      <c r="N49" s="3"/>
      <c r="O49" s="3"/>
      <c r="Q49" s="4"/>
      <c r="R49" s="5"/>
      <c r="S49" s="5"/>
    </row>
    <row r="50" spans="3:19" ht="15.75" customHeight="1">
      <c r="C50" s="1"/>
      <c r="D50" s="1"/>
      <c r="E50" s="1"/>
      <c r="F50" s="1"/>
      <c r="G50" s="1"/>
      <c r="H50" s="1"/>
      <c r="I50" s="2"/>
      <c r="J50" s="63"/>
      <c r="K50" s="63"/>
      <c r="L50" s="63"/>
      <c r="M50" s="3"/>
      <c r="N50" s="3"/>
      <c r="O50" s="3"/>
      <c r="Q50" s="4"/>
      <c r="R50" s="5"/>
      <c r="S50" s="5"/>
    </row>
    <row r="51" spans="3:19" ht="15.75" customHeight="1">
      <c r="C51" s="1"/>
      <c r="D51" s="1"/>
      <c r="E51" s="1"/>
      <c r="F51" s="1"/>
      <c r="G51" s="1"/>
      <c r="H51" s="1"/>
      <c r="I51" s="2"/>
      <c r="J51" s="63"/>
      <c r="K51" s="63"/>
      <c r="L51" s="63"/>
      <c r="M51" s="3"/>
      <c r="N51" s="3"/>
      <c r="O51" s="3"/>
      <c r="Q51" s="4"/>
      <c r="R51" s="5"/>
      <c r="S51" s="5"/>
    </row>
    <row r="52" spans="3:19" ht="15.75" customHeight="1">
      <c r="C52" s="1"/>
      <c r="D52" s="1"/>
      <c r="E52" s="1"/>
      <c r="F52" s="1"/>
      <c r="G52" s="1"/>
      <c r="H52" s="1"/>
      <c r="I52" s="2"/>
      <c r="J52" s="63"/>
      <c r="K52" s="63"/>
      <c r="L52" s="63"/>
      <c r="M52" s="3"/>
      <c r="N52" s="3"/>
      <c r="O52" s="3"/>
      <c r="Q52" s="4"/>
      <c r="R52" s="5"/>
      <c r="S52" s="5"/>
    </row>
    <row r="53" spans="3:19" ht="15.75" customHeight="1">
      <c r="C53" s="1"/>
      <c r="D53" s="1"/>
      <c r="E53" s="1"/>
      <c r="F53" s="1"/>
      <c r="G53" s="1"/>
      <c r="H53" s="1"/>
      <c r="I53" s="2"/>
      <c r="J53" s="63"/>
      <c r="K53" s="63"/>
      <c r="L53" s="63"/>
      <c r="M53" s="3"/>
      <c r="N53" s="3"/>
      <c r="O53" s="3"/>
      <c r="Q53" s="4"/>
      <c r="R53" s="5"/>
      <c r="S53" s="5"/>
    </row>
    <row r="54" spans="3:19" ht="15.75" customHeight="1">
      <c r="C54" s="1"/>
      <c r="D54" s="1"/>
      <c r="E54" s="1"/>
      <c r="F54" s="1"/>
      <c r="G54" s="1"/>
      <c r="H54" s="1"/>
      <c r="I54" s="2"/>
      <c r="J54" s="63"/>
      <c r="K54" s="63"/>
      <c r="L54" s="63"/>
      <c r="M54" s="3"/>
      <c r="N54" s="3"/>
      <c r="O54" s="3"/>
      <c r="Q54" s="4"/>
      <c r="R54" s="5"/>
      <c r="S54" s="5"/>
    </row>
    <row r="55" spans="3:19" ht="15.75" customHeight="1">
      <c r="C55" s="1"/>
      <c r="D55" s="1"/>
      <c r="E55" s="1"/>
      <c r="F55" s="1"/>
      <c r="G55" s="1"/>
      <c r="H55" s="1"/>
      <c r="I55" s="2"/>
      <c r="J55" s="63"/>
      <c r="K55" s="63"/>
      <c r="L55" s="63"/>
      <c r="M55" s="3"/>
      <c r="N55" s="3"/>
      <c r="O55" s="3"/>
      <c r="Q55" s="4"/>
      <c r="R55" s="5"/>
      <c r="S55" s="5"/>
    </row>
    <row r="56" spans="3:19" ht="15.75" customHeight="1">
      <c r="C56" s="1"/>
      <c r="D56" s="1"/>
      <c r="E56" s="1"/>
      <c r="F56" s="1"/>
      <c r="G56" s="1"/>
      <c r="H56" s="1"/>
      <c r="I56" s="2"/>
      <c r="J56" s="63"/>
      <c r="K56" s="63"/>
      <c r="L56" s="63"/>
      <c r="M56" s="3"/>
      <c r="N56" s="3"/>
      <c r="O56" s="3"/>
      <c r="Q56" s="4"/>
      <c r="R56" s="5"/>
      <c r="S56" s="5"/>
    </row>
    <row r="57" spans="3:19" ht="15.75" customHeight="1">
      <c r="C57" s="1"/>
      <c r="D57" s="1"/>
      <c r="E57" s="1"/>
      <c r="F57" s="1"/>
      <c r="G57" s="1"/>
      <c r="H57" s="1"/>
      <c r="I57" s="2"/>
      <c r="J57" s="63"/>
      <c r="K57" s="63"/>
      <c r="L57" s="63"/>
      <c r="M57" s="3"/>
      <c r="N57" s="3"/>
      <c r="O57" s="3"/>
      <c r="Q57" s="4"/>
      <c r="R57" s="5"/>
      <c r="S57" s="5"/>
    </row>
    <row r="58" spans="3:19" ht="15.75" customHeight="1">
      <c r="C58" s="1"/>
      <c r="D58" s="1"/>
      <c r="E58" s="1"/>
      <c r="F58" s="1"/>
      <c r="G58" s="1"/>
      <c r="H58" s="1"/>
      <c r="I58" s="2"/>
      <c r="J58" s="63"/>
      <c r="K58" s="63"/>
      <c r="L58" s="63"/>
      <c r="M58" s="3"/>
      <c r="N58" s="3"/>
      <c r="O58" s="3"/>
      <c r="Q58" s="4"/>
      <c r="R58" s="5"/>
      <c r="S58" s="5"/>
    </row>
    <row r="59" spans="3:19" ht="15.75" customHeight="1">
      <c r="C59" s="1"/>
      <c r="D59" s="1"/>
      <c r="E59" s="1"/>
      <c r="F59" s="1"/>
      <c r="G59" s="1"/>
      <c r="H59" s="1"/>
      <c r="I59" s="2"/>
      <c r="J59" s="63"/>
      <c r="K59" s="63"/>
      <c r="L59" s="63"/>
      <c r="M59" s="3"/>
      <c r="N59" s="3"/>
      <c r="O59" s="3"/>
      <c r="Q59" s="4"/>
      <c r="R59" s="5"/>
      <c r="S59" s="5"/>
    </row>
    <row r="60" spans="3:19" ht="15.75" customHeight="1">
      <c r="C60" s="1"/>
      <c r="D60" s="1"/>
      <c r="E60" s="1"/>
      <c r="F60" s="1"/>
      <c r="G60" s="1"/>
      <c r="H60" s="1"/>
      <c r="I60" s="2"/>
      <c r="J60" s="63"/>
      <c r="K60" s="63"/>
      <c r="L60" s="63"/>
      <c r="M60" s="3"/>
      <c r="N60" s="3"/>
      <c r="O60" s="3"/>
      <c r="Q60" s="4"/>
      <c r="R60" s="5"/>
      <c r="S60" s="5"/>
    </row>
    <row r="61" spans="3:19" ht="15.75" customHeight="1">
      <c r="C61" s="1"/>
      <c r="D61" s="1"/>
      <c r="E61" s="1"/>
      <c r="F61" s="1"/>
      <c r="G61" s="1"/>
      <c r="H61" s="1"/>
      <c r="I61" s="2"/>
      <c r="J61" s="63"/>
      <c r="K61" s="63"/>
      <c r="L61" s="63"/>
      <c r="M61" s="3"/>
      <c r="N61" s="3"/>
      <c r="O61" s="3"/>
      <c r="Q61" s="4"/>
      <c r="R61" s="5"/>
      <c r="S61" s="5"/>
    </row>
    <row r="62" spans="3:19" ht="15.75" customHeight="1">
      <c r="C62" s="1"/>
      <c r="D62" s="1"/>
      <c r="E62" s="1"/>
      <c r="F62" s="1"/>
      <c r="G62" s="1"/>
      <c r="H62" s="1"/>
      <c r="I62" s="2"/>
      <c r="J62" s="63"/>
      <c r="K62" s="63"/>
      <c r="L62" s="63"/>
      <c r="M62" s="3"/>
      <c r="N62" s="3"/>
      <c r="O62" s="3"/>
      <c r="Q62" s="4"/>
      <c r="R62" s="5"/>
      <c r="S62" s="5"/>
    </row>
    <row r="63" spans="3:19" ht="15.75" customHeight="1">
      <c r="C63" s="1"/>
      <c r="D63" s="1"/>
      <c r="E63" s="1"/>
      <c r="F63" s="1"/>
      <c r="G63" s="1"/>
      <c r="H63" s="1"/>
      <c r="I63" s="2"/>
      <c r="J63" s="63"/>
      <c r="K63" s="63"/>
      <c r="L63" s="63"/>
      <c r="M63" s="3"/>
      <c r="N63" s="3"/>
      <c r="O63" s="3"/>
      <c r="Q63" s="4"/>
      <c r="R63" s="5"/>
      <c r="S63" s="5"/>
    </row>
    <row r="64" spans="3:19" ht="15.75" customHeight="1">
      <c r="C64" s="1"/>
      <c r="D64" s="1"/>
      <c r="E64" s="1"/>
      <c r="F64" s="1"/>
      <c r="G64" s="1"/>
      <c r="H64" s="1"/>
      <c r="I64" s="2"/>
      <c r="J64" s="63"/>
      <c r="K64" s="63"/>
      <c r="L64" s="63"/>
      <c r="M64" s="3"/>
      <c r="N64" s="3"/>
      <c r="O64" s="3"/>
      <c r="Q64" s="4"/>
      <c r="R64" s="5"/>
      <c r="S64" s="5"/>
    </row>
    <row r="65" spans="3:19" ht="15.75" customHeight="1">
      <c r="C65" s="1"/>
      <c r="D65" s="1"/>
      <c r="E65" s="1"/>
      <c r="F65" s="1"/>
      <c r="G65" s="1"/>
      <c r="H65" s="1"/>
      <c r="I65" s="2"/>
      <c r="J65" s="63"/>
      <c r="K65" s="63"/>
      <c r="L65" s="63"/>
      <c r="M65" s="3"/>
      <c r="N65" s="3"/>
      <c r="O65" s="3"/>
      <c r="Q65" s="4"/>
      <c r="R65" s="5"/>
      <c r="S65" s="5"/>
    </row>
    <row r="66" spans="3:19" ht="15.75" customHeight="1">
      <c r="C66" s="1"/>
      <c r="D66" s="1"/>
      <c r="E66" s="1"/>
      <c r="F66" s="1"/>
      <c r="G66" s="1"/>
      <c r="H66" s="1"/>
      <c r="I66" s="2"/>
      <c r="J66" s="63"/>
      <c r="K66" s="63"/>
      <c r="L66" s="63"/>
      <c r="M66" s="3"/>
      <c r="N66" s="3"/>
      <c r="O66" s="3"/>
      <c r="Q66" s="4"/>
      <c r="R66" s="5"/>
      <c r="S66" s="5"/>
    </row>
    <row r="67" spans="3:19" ht="15.75" customHeight="1">
      <c r="C67" s="1"/>
      <c r="D67" s="1"/>
      <c r="E67" s="1"/>
      <c r="F67" s="1"/>
      <c r="G67" s="1"/>
      <c r="H67" s="1"/>
      <c r="I67" s="2"/>
      <c r="J67" s="63"/>
      <c r="K67" s="63"/>
      <c r="L67" s="63"/>
      <c r="M67" s="3"/>
      <c r="N67" s="3"/>
      <c r="O67" s="3"/>
      <c r="Q67" s="4"/>
      <c r="R67" s="5"/>
      <c r="S67" s="5"/>
    </row>
    <row r="68" spans="3:19" ht="15.75" customHeight="1">
      <c r="C68" s="1"/>
      <c r="D68" s="1"/>
      <c r="E68" s="1"/>
      <c r="F68" s="1"/>
      <c r="G68" s="1"/>
      <c r="H68" s="1"/>
      <c r="I68" s="2"/>
      <c r="J68" s="63"/>
      <c r="K68" s="63"/>
      <c r="L68" s="63"/>
      <c r="M68" s="3"/>
      <c r="N68" s="3"/>
      <c r="O68" s="3"/>
      <c r="Q68" s="4"/>
      <c r="R68" s="5"/>
      <c r="S68" s="5"/>
    </row>
    <row r="69" spans="3:19" ht="15.75" customHeight="1">
      <c r="C69" s="1"/>
      <c r="D69" s="1"/>
      <c r="E69" s="1"/>
      <c r="F69" s="1"/>
      <c r="G69" s="1"/>
      <c r="H69" s="1"/>
      <c r="I69" s="2"/>
      <c r="J69" s="63"/>
      <c r="K69" s="63"/>
      <c r="L69" s="63"/>
      <c r="M69" s="3"/>
      <c r="N69" s="3"/>
      <c r="O69" s="3"/>
      <c r="Q69" s="4"/>
      <c r="R69" s="5"/>
      <c r="S69" s="5"/>
    </row>
    <row r="70" spans="3:19" ht="15.75" customHeight="1">
      <c r="C70" s="1"/>
      <c r="D70" s="1"/>
      <c r="E70" s="1"/>
      <c r="F70" s="1"/>
      <c r="G70" s="1"/>
      <c r="H70" s="1"/>
      <c r="I70" s="2"/>
      <c r="J70" s="63"/>
      <c r="K70" s="63"/>
      <c r="L70" s="63"/>
      <c r="M70" s="3"/>
      <c r="N70" s="3"/>
      <c r="O70" s="3"/>
      <c r="Q70" s="4"/>
      <c r="R70" s="5"/>
      <c r="S70" s="5"/>
    </row>
    <row r="71" spans="3:19" ht="15.75" customHeight="1">
      <c r="C71" s="1"/>
      <c r="D71" s="1"/>
      <c r="E71" s="1"/>
      <c r="F71" s="1"/>
      <c r="G71" s="1"/>
      <c r="H71" s="1"/>
      <c r="I71" s="2"/>
      <c r="J71" s="63"/>
      <c r="K71" s="63"/>
      <c r="L71" s="63"/>
      <c r="M71" s="3"/>
      <c r="N71" s="3"/>
      <c r="O71" s="3"/>
      <c r="Q71" s="4"/>
      <c r="R71" s="5"/>
      <c r="S71" s="5"/>
    </row>
    <row r="72" spans="3:19" ht="15.75" customHeight="1">
      <c r="C72" s="1"/>
      <c r="D72" s="1"/>
      <c r="E72" s="1"/>
      <c r="F72" s="1"/>
      <c r="G72" s="1"/>
      <c r="H72" s="1"/>
      <c r="I72" s="2"/>
      <c r="J72" s="63"/>
      <c r="K72" s="63"/>
      <c r="L72" s="63"/>
      <c r="M72" s="3"/>
      <c r="N72" s="3"/>
      <c r="O72" s="3"/>
      <c r="Q72" s="4"/>
      <c r="R72" s="5"/>
      <c r="S72" s="5"/>
    </row>
    <row r="73" spans="3:19" ht="15.75" customHeight="1">
      <c r="C73" s="1"/>
      <c r="D73" s="1"/>
      <c r="E73" s="1"/>
      <c r="F73" s="1"/>
      <c r="G73" s="1"/>
      <c r="H73" s="1"/>
      <c r="I73" s="2"/>
      <c r="J73" s="63"/>
      <c r="K73" s="63"/>
      <c r="L73" s="63"/>
      <c r="M73" s="3"/>
      <c r="N73" s="3"/>
      <c r="O73" s="3"/>
      <c r="Q73" s="4"/>
      <c r="R73" s="5"/>
      <c r="S73" s="5"/>
    </row>
    <row r="74" spans="3:19" ht="15.75" customHeight="1">
      <c r="C74" s="1"/>
      <c r="D74" s="1"/>
      <c r="E74" s="1"/>
      <c r="F74" s="1"/>
      <c r="G74" s="1"/>
      <c r="H74" s="1"/>
      <c r="I74" s="2"/>
      <c r="J74" s="63"/>
      <c r="K74" s="63"/>
      <c r="L74" s="63"/>
      <c r="M74" s="3"/>
      <c r="N74" s="3"/>
      <c r="O74" s="3"/>
      <c r="Q74" s="4"/>
      <c r="R74" s="5"/>
      <c r="S74" s="5"/>
    </row>
    <row r="75" spans="3:19" ht="15.75" customHeight="1">
      <c r="C75" s="1"/>
      <c r="D75" s="1"/>
      <c r="E75" s="1"/>
      <c r="F75" s="1"/>
      <c r="G75" s="1"/>
      <c r="H75" s="1"/>
      <c r="I75" s="2"/>
      <c r="J75" s="63"/>
      <c r="K75" s="63"/>
      <c r="L75" s="63"/>
      <c r="M75" s="3"/>
      <c r="N75" s="3"/>
      <c r="O75" s="3"/>
      <c r="Q75" s="4"/>
      <c r="R75" s="5"/>
      <c r="S75" s="5"/>
    </row>
    <row r="76" spans="3:19" ht="15.75" customHeight="1">
      <c r="C76" s="1"/>
      <c r="D76" s="1"/>
      <c r="E76" s="1"/>
      <c r="F76" s="1"/>
      <c r="G76" s="1"/>
      <c r="H76" s="1"/>
      <c r="I76" s="2"/>
      <c r="J76" s="63"/>
      <c r="K76" s="63"/>
      <c r="L76" s="63"/>
      <c r="M76" s="3"/>
      <c r="N76" s="3"/>
      <c r="O76" s="3"/>
      <c r="Q76" s="4"/>
      <c r="R76" s="5"/>
      <c r="S76" s="5"/>
    </row>
    <row r="77" spans="3:19" ht="15.75" customHeight="1">
      <c r="C77" s="1"/>
      <c r="D77" s="1"/>
      <c r="E77" s="1"/>
      <c r="F77" s="1"/>
      <c r="G77" s="1"/>
      <c r="H77" s="1"/>
      <c r="I77" s="2"/>
      <c r="J77" s="63"/>
      <c r="K77" s="63"/>
      <c r="L77" s="63"/>
      <c r="M77" s="3"/>
      <c r="N77" s="3"/>
      <c r="O77" s="3"/>
      <c r="Q77" s="4"/>
      <c r="R77" s="5"/>
      <c r="S77" s="5"/>
    </row>
    <row r="78" spans="3:19" ht="15.75" customHeight="1">
      <c r="C78" s="1"/>
      <c r="D78" s="1"/>
      <c r="E78" s="1"/>
      <c r="F78" s="1"/>
      <c r="G78" s="1"/>
      <c r="H78" s="1"/>
      <c r="I78" s="2"/>
      <c r="J78" s="63"/>
      <c r="K78" s="63"/>
      <c r="L78" s="63"/>
      <c r="M78" s="3"/>
      <c r="N78" s="3"/>
      <c r="O78" s="3"/>
      <c r="Q78" s="4"/>
      <c r="R78" s="5"/>
      <c r="S78" s="5"/>
    </row>
    <row r="79" spans="3:19" ht="15.75" customHeight="1">
      <c r="C79" s="1"/>
      <c r="D79" s="1"/>
      <c r="E79" s="1"/>
      <c r="F79" s="1"/>
      <c r="G79" s="1"/>
      <c r="H79" s="1"/>
      <c r="I79" s="2"/>
      <c r="J79" s="63"/>
      <c r="K79" s="63"/>
      <c r="L79" s="63"/>
      <c r="M79" s="3"/>
      <c r="N79" s="3"/>
      <c r="O79" s="3"/>
      <c r="Q79" s="4"/>
      <c r="R79" s="5"/>
      <c r="S79" s="5"/>
    </row>
    <row r="80" spans="3:19" ht="15.75" customHeight="1">
      <c r="C80" s="1"/>
      <c r="D80" s="1"/>
      <c r="E80" s="1"/>
      <c r="F80" s="1"/>
      <c r="G80" s="1"/>
      <c r="H80" s="1"/>
      <c r="I80" s="2"/>
      <c r="J80" s="63"/>
      <c r="K80" s="63"/>
      <c r="L80" s="63"/>
      <c r="M80" s="3"/>
      <c r="N80" s="3"/>
      <c r="O80" s="3"/>
      <c r="Q80" s="4"/>
      <c r="R80" s="5"/>
      <c r="S80" s="5"/>
    </row>
    <row r="81" spans="3:19" ht="15.75" customHeight="1">
      <c r="C81" s="1"/>
      <c r="D81" s="1"/>
      <c r="E81" s="1"/>
      <c r="F81" s="1"/>
      <c r="G81" s="1"/>
      <c r="H81" s="1"/>
      <c r="I81" s="2"/>
      <c r="J81" s="63"/>
      <c r="K81" s="63"/>
      <c r="L81" s="63"/>
      <c r="M81" s="3"/>
      <c r="N81" s="3"/>
      <c r="O81" s="3"/>
      <c r="Q81" s="4"/>
      <c r="R81" s="5"/>
      <c r="S81" s="5"/>
    </row>
    <row r="82" spans="3:19" ht="15.75" customHeight="1">
      <c r="C82" s="1"/>
      <c r="D82" s="1"/>
      <c r="E82" s="1"/>
      <c r="F82" s="1"/>
      <c r="G82" s="1"/>
      <c r="H82" s="1"/>
      <c r="I82" s="2"/>
      <c r="J82" s="63"/>
      <c r="K82" s="63"/>
      <c r="L82" s="63"/>
      <c r="M82" s="3"/>
      <c r="N82" s="3"/>
      <c r="O82" s="3"/>
      <c r="Q82" s="4"/>
      <c r="R82" s="5"/>
      <c r="S82" s="5"/>
    </row>
    <row r="83" spans="3:19" ht="15.75" customHeight="1">
      <c r="C83" s="1"/>
      <c r="D83" s="1"/>
      <c r="E83" s="1"/>
      <c r="F83" s="1"/>
      <c r="G83" s="1"/>
      <c r="H83" s="1"/>
      <c r="I83" s="2"/>
      <c r="J83" s="63"/>
      <c r="K83" s="63"/>
      <c r="L83" s="63"/>
      <c r="M83" s="3"/>
      <c r="N83" s="3"/>
      <c r="O83" s="3"/>
      <c r="Q83" s="4"/>
      <c r="R83" s="5"/>
      <c r="S83" s="5"/>
    </row>
    <row r="84" spans="3:19" ht="15.75" customHeight="1">
      <c r="C84" s="1"/>
      <c r="D84" s="1"/>
      <c r="E84" s="1"/>
      <c r="F84" s="1"/>
      <c r="G84" s="1"/>
      <c r="H84" s="1"/>
      <c r="I84" s="2"/>
      <c r="J84" s="63"/>
      <c r="K84" s="63"/>
      <c r="L84" s="63"/>
      <c r="M84" s="3"/>
      <c r="N84" s="3"/>
      <c r="O84" s="3"/>
      <c r="Q84" s="4"/>
      <c r="R84" s="5"/>
      <c r="S84" s="5"/>
    </row>
    <row r="85" spans="3:19" ht="15.75" customHeight="1">
      <c r="C85" s="1"/>
      <c r="D85" s="1"/>
      <c r="E85" s="1"/>
      <c r="F85" s="1"/>
      <c r="G85" s="1"/>
      <c r="H85" s="1"/>
      <c r="I85" s="2"/>
      <c r="J85" s="63"/>
      <c r="K85" s="63"/>
      <c r="L85" s="63"/>
      <c r="M85" s="3"/>
      <c r="N85" s="3"/>
      <c r="O85" s="3"/>
      <c r="Q85" s="4"/>
      <c r="R85" s="5"/>
      <c r="S85" s="5"/>
    </row>
    <row r="86" spans="3:19" ht="15.75" customHeight="1">
      <c r="C86" s="1"/>
      <c r="D86" s="1"/>
      <c r="E86" s="1"/>
      <c r="F86" s="1"/>
      <c r="G86" s="1"/>
      <c r="H86" s="1"/>
      <c r="I86" s="2"/>
      <c r="J86" s="63"/>
      <c r="K86" s="63"/>
      <c r="L86" s="63"/>
      <c r="M86" s="3"/>
      <c r="N86" s="3"/>
      <c r="O86" s="3"/>
      <c r="Q86" s="4"/>
      <c r="R86" s="5"/>
      <c r="S86" s="5"/>
    </row>
    <row r="87" spans="3:19" ht="15.75" customHeight="1">
      <c r="C87" s="1"/>
      <c r="D87" s="1"/>
      <c r="E87" s="1"/>
      <c r="F87" s="1"/>
      <c r="G87" s="1"/>
      <c r="H87" s="1"/>
      <c r="I87" s="2"/>
      <c r="J87" s="63"/>
      <c r="K87" s="63"/>
      <c r="L87" s="63"/>
      <c r="M87" s="3"/>
      <c r="N87" s="3"/>
      <c r="O87" s="3"/>
      <c r="Q87" s="4"/>
      <c r="R87" s="5"/>
      <c r="S87" s="5"/>
    </row>
    <row r="88" spans="3:19" ht="15.75" customHeight="1">
      <c r="C88" s="1"/>
      <c r="D88" s="1"/>
      <c r="E88" s="1"/>
      <c r="F88" s="1"/>
      <c r="G88" s="1"/>
      <c r="H88" s="1"/>
      <c r="I88" s="2"/>
      <c r="J88" s="63"/>
      <c r="K88" s="63"/>
      <c r="L88" s="63"/>
      <c r="M88" s="3"/>
      <c r="N88" s="3"/>
      <c r="O88" s="3"/>
      <c r="Q88" s="4"/>
      <c r="R88" s="5"/>
      <c r="S88" s="5"/>
    </row>
    <row r="89" spans="3:19" ht="15.75" customHeight="1">
      <c r="C89" s="1"/>
      <c r="D89" s="1"/>
      <c r="E89" s="1"/>
      <c r="F89" s="1"/>
      <c r="G89" s="1"/>
      <c r="H89" s="1"/>
      <c r="I89" s="2"/>
      <c r="J89" s="63"/>
      <c r="K89" s="63"/>
      <c r="L89" s="63"/>
      <c r="M89" s="3"/>
      <c r="N89" s="3"/>
      <c r="O89" s="3"/>
      <c r="Q89" s="4"/>
      <c r="R89" s="5"/>
      <c r="S89" s="5"/>
    </row>
    <row r="90" spans="3:19" ht="15.75" customHeight="1">
      <c r="C90" s="1"/>
      <c r="D90" s="1"/>
      <c r="E90" s="1"/>
      <c r="F90" s="1"/>
      <c r="G90" s="1"/>
      <c r="H90" s="1"/>
      <c r="I90" s="2"/>
      <c r="J90" s="63"/>
      <c r="K90" s="63"/>
      <c r="L90" s="63"/>
      <c r="M90" s="3"/>
      <c r="N90" s="3"/>
      <c r="O90" s="3"/>
      <c r="Q90" s="4"/>
      <c r="R90" s="5"/>
      <c r="S90" s="5"/>
    </row>
    <row r="91" spans="3:19" ht="15.75" customHeight="1">
      <c r="C91" s="1"/>
      <c r="D91" s="1"/>
      <c r="E91" s="1"/>
      <c r="F91" s="1"/>
      <c r="G91" s="1"/>
      <c r="H91" s="1"/>
      <c r="I91" s="2"/>
      <c r="J91" s="63"/>
      <c r="K91" s="63"/>
      <c r="L91" s="63"/>
      <c r="M91" s="3"/>
      <c r="N91" s="3"/>
      <c r="O91" s="3"/>
      <c r="Q91" s="4"/>
      <c r="R91" s="5"/>
      <c r="S91" s="5"/>
    </row>
    <row r="92" spans="3:19" ht="15.75" customHeight="1">
      <c r="C92" s="1"/>
      <c r="D92" s="1"/>
      <c r="E92" s="1"/>
      <c r="F92" s="1"/>
      <c r="G92" s="1"/>
      <c r="H92" s="1"/>
      <c r="I92" s="2"/>
      <c r="J92" s="63"/>
      <c r="K92" s="63"/>
      <c r="L92" s="63"/>
      <c r="M92" s="3"/>
      <c r="N92" s="3"/>
      <c r="O92" s="3"/>
      <c r="Q92" s="4"/>
      <c r="R92" s="5"/>
      <c r="S92" s="5"/>
    </row>
    <row r="93" spans="3:19" ht="15.75" customHeight="1">
      <c r="C93" s="1"/>
      <c r="D93" s="1"/>
      <c r="E93" s="1"/>
      <c r="F93" s="1"/>
      <c r="G93" s="1"/>
      <c r="H93" s="1"/>
      <c r="I93" s="2"/>
      <c r="J93" s="63"/>
      <c r="K93" s="63"/>
      <c r="L93" s="63"/>
      <c r="M93" s="3"/>
      <c r="N93" s="3"/>
      <c r="O93" s="3"/>
      <c r="Q93" s="4"/>
      <c r="R93" s="5"/>
      <c r="S93" s="5"/>
    </row>
    <row r="94" spans="3:19" ht="15.75" customHeight="1">
      <c r="C94" s="1"/>
      <c r="D94" s="1"/>
      <c r="E94" s="1"/>
      <c r="F94" s="1"/>
      <c r="G94" s="1"/>
      <c r="H94" s="1"/>
      <c r="I94" s="2"/>
      <c r="J94" s="63"/>
      <c r="K94" s="63"/>
      <c r="L94" s="63"/>
      <c r="M94" s="3"/>
      <c r="N94" s="3"/>
      <c r="O94" s="3"/>
      <c r="Q94" s="4"/>
      <c r="R94" s="5"/>
      <c r="S94" s="5"/>
    </row>
    <row r="95" spans="3:19" ht="15.75" customHeight="1">
      <c r="C95" s="1"/>
      <c r="D95" s="1"/>
      <c r="E95" s="1"/>
      <c r="F95" s="1"/>
      <c r="G95" s="1"/>
      <c r="H95" s="1"/>
      <c r="I95" s="2"/>
      <c r="J95" s="63"/>
      <c r="K95" s="63"/>
      <c r="L95" s="63"/>
      <c r="M95" s="3"/>
      <c r="N95" s="3"/>
      <c r="O95" s="3"/>
      <c r="Q95" s="4"/>
      <c r="R95" s="5"/>
      <c r="S95" s="5"/>
    </row>
    <row r="96" spans="3:19" ht="15.75" customHeight="1">
      <c r="C96" s="1"/>
      <c r="D96" s="1"/>
      <c r="E96" s="1"/>
      <c r="F96" s="1"/>
      <c r="G96" s="1"/>
      <c r="H96" s="1"/>
      <c r="I96" s="2"/>
      <c r="J96" s="63"/>
      <c r="K96" s="63"/>
      <c r="L96" s="63"/>
      <c r="M96" s="3"/>
      <c r="N96" s="3"/>
      <c r="O96" s="3"/>
      <c r="Q96" s="4"/>
      <c r="R96" s="5"/>
      <c r="S96" s="5"/>
    </row>
    <row r="97" spans="3:19" ht="15.75" customHeight="1">
      <c r="C97" s="1"/>
      <c r="D97" s="1"/>
      <c r="E97" s="1"/>
      <c r="F97" s="1"/>
      <c r="G97" s="1"/>
      <c r="H97" s="1"/>
      <c r="I97" s="2"/>
      <c r="J97" s="63"/>
      <c r="K97" s="63"/>
      <c r="L97" s="63"/>
      <c r="M97" s="3"/>
      <c r="N97" s="3"/>
      <c r="O97" s="3"/>
      <c r="Q97" s="4"/>
      <c r="R97" s="5"/>
      <c r="S97" s="5"/>
    </row>
    <row r="98" spans="3:19" ht="15.75" customHeight="1">
      <c r="C98" s="1"/>
      <c r="D98" s="1"/>
      <c r="E98" s="1"/>
      <c r="F98" s="1"/>
      <c r="G98" s="1"/>
      <c r="H98" s="1"/>
      <c r="I98" s="2"/>
      <c r="J98" s="63"/>
      <c r="K98" s="63"/>
      <c r="L98" s="63"/>
      <c r="M98" s="3"/>
      <c r="N98" s="3"/>
      <c r="O98" s="3"/>
      <c r="Q98" s="4"/>
      <c r="R98" s="5"/>
      <c r="S98" s="5"/>
    </row>
    <row r="99" spans="3:19" ht="15.75" customHeight="1">
      <c r="C99" s="1"/>
      <c r="D99" s="1"/>
      <c r="E99" s="1"/>
      <c r="F99" s="1"/>
      <c r="G99" s="1"/>
      <c r="H99" s="1"/>
      <c r="I99" s="2"/>
      <c r="J99" s="63"/>
      <c r="K99" s="63"/>
      <c r="L99" s="63"/>
      <c r="M99" s="3"/>
      <c r="N99" s="3"/>
      <c r="O99" s="3"/>
      <c r="Q99" s="4"/>
      <c r="R99" s="5"/>
      <c r="S99" s="5"/>
    </row>
    <row r="100" spans="3:19" ht="15.75" customHeight="1">
      <c r="C100" s="1"/>
      <c r="D100" s="1"/>
      <c r="E100" s="1"/>
      <c r="F100" s="1"/>
      <c r="G100" s="1"/>
      <c r="H100" s="1"/>
      <c r="I100" s="2"/>
      <c r="J100" s="63"/>
      <c r="K100" s="63"/>
      <c r="L100" s="63"/>
      <c r="M100" s="3"/>
      <c r="N100" s="3"/>
      <c r="O100" s="3"/>
      <c r="Q100" s="4"/>
      <c r="R100" s="5"/>
      <c r="S100" s="5"/>
    </row>
    <row r="101" spans="3:19" ht="15.75" customHeight="1">
      <c r="C101" s="1"/>
      <c r="D101" s="1"/>
      <c r="E101" s="1"/>
      <c r="F101" s="1"/>
      <c r="G101" s="1"/>
      <c r="H101" s="1"/>
      <c r="I101" s="2"/>
      <c r="J101" s="63"/>
      <c r="K101" s="63"/>
      <c r="L101" s="63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63"/>
      <c r="K102" s="63"/>
      <c r="L102" s="63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63"/>
      <c r="K103" s="63"/>
      <c r="L103" s="63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63"/>
      <c r="K104" s="63"/>
      <c r="L104" s="63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63"/>
      <c r="K105" s="63"/>
      <c r="L105" s="63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63"/>
      <c r="K106" s="63"/>
      <c r="L106" s="63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63"/>
      <c r="K107" s="63"/>
      <c r="L107" s="63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63"/>
      <c r="K108" s="63"/>
      <c r="L108" s="63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63"/>
      <c r="K109" s="63"/>
      <c r="L109" s="63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63"/>
      <c r="K110" s="63"/>
      <c r="L110" s="63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63"/>
      <c r="K111" s="63"/>
      <c r="L111" s="63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63"/>
      <c r="K112" s="63"/>
      <c r="L112" s="63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63"/>
      <c r="K113" s="63"/>
      <c r="L113" s="63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63"/>
      <c r="K114" s="63"/>
      <c r="L114" s="63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63"/>
      <c r="K115" s="63"/>
      <c r="L115" s="63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63"/>
      <c r="K116" s="63"/>
      <c r="L116" s="63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63"/>
      <c r="K117" s="63"/>
      <c r="L117" s="63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63"/>
      <c r="K118" s="63"/>
      <c r="L118" s="63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63"/>
      <c r="K119" s="63"/>
      <c r="L119" s="63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63"/>
      <c r="K120" s="63"/>
      <c r="L120" s="63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63"/>
      <c r="K121" s="63"/>
      <c r="L121" s="63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63"/>
      <c r="K122" s="63"/>
      <c r="L122" s="63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63"/>
      <c r="K123" s="63"/>
      <c r="L123" s="63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63"/>
      <c r="K124" s="63"/>
      <c r="L124" s="63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63"/>
      <c r="K125" s="63"/>
      <c r="L125" s="63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63"/>
      <c r="K126" s="63"/>
      <c r="L126" s="63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63"/>
      <c r="K127" s="63"/>
      <c r="L127" s="63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63"/>
      <c r="K128" s="63"/>
      <c r="L128" s="63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63"/>
      <c r="K129" s="63"/>
      <c r="L129" s="63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63"/>
      <c r="K130" s="63"/>
      <c r="L130" s="63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63"/>
      <c r="K131" s="63"/>
      <c r="L131" s="63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63"/>
      <c r="K132" s="63"/>
      <c r="L132" s="63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63"/>
      <c r="K133" s="63"/>
      <c r="L133" s="63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63"/>
      <c r="K134" s="63"/>
      <c r="L134" s="63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63"/>
      <c r="K135" s="63"/>
      <c r="L135" s="63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63"/>
      <c r="K136" s="63"/>
      <c r="L136" s="63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63"/>
      <c r="K137" s="63"/>
      <c r="L137" s="63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63"/>
      <c r="K138" s="63"/>
      <c r="L138" s="63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63"/>
      <c r="K139" s="63"/>
      <c r="L139" s="63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63"/>
      <c r="K140" s="63"/>
      <c r="L140" s="63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63"/>
      <c r="K141" s="63"/>
      <c r="L141" s="63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63"/>
      <c r="K142" s="63"/>
      <c r="L142" s="63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63"/>
      <c r="K143" s="63"/>
      <c r="L143" s="63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63"/>
      <c r="K144" s="63"/>
      <c r="L144" s="63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63"/>
      <c r="K145" s="63"/>
      <c r="L145" s="63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63"/>
      <c r="K146" s="63"/>
      <c r="L146" s="63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63"/>
      <c r="K147" s="63"/>
      <c r="L147" s="63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63"/>
      <c r="K148" s="63"/>
      <c r="L148" s="63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63"/>
      <c r="K149" s="63"/>
      <c r="L149" s="63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63"/>
      <c r="K150" s="63"/>
      <c r="L150" s="63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63"/>
      <c r="K151" s="63"/>
      <c r="L151" s="63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63"/>
      <c r="K152" s="63"/>
      <c r="L152" s="63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63"/>
      <c r="K153" s="63"/>
      <c r="L153" s="63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63"/>
      <c r="K154" s="63"/>
      <c r="L154" s="63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63"/>
      <c r="K155" s="63"/>
      <c r="L155" s="63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63"/>
      <c r="K156" s="63"/>
      <c r="L156" s="63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63"/>
      <c r="K157" s="63"/>
      <c r="L157" s="63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63"/>
      <c r="K158" s="63"/>
      <c r="L158" s="63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63"/>
      <c r="K159" s="63"/>
      <c r="L159" s="63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63"/>
      <c r="K160" s="63"/>
      <c r="L160" s="63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63"/>
      <c r="K161" s="63"/>
      <c r="L161" s="63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63"/>
      <c r="K162" s="63"/>
      <c r="L162" s="63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63"/>
      <c r="K163" s="63"/>
      <c r="L163" s="63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63"/>
      <c r="K164" s="63"/>
      <c r="L164" s="63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63"/>
      <c r="K165" s="63"/>
      <c r="L165" s="63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63"/>
      <c r="K166" s="63"/>
      <c r="L166" s="63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63"/>
      <c r="K167" s="63"/>
      <c r="L167" s="63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63"/>
      <c r="K168" s="63"/>
      <c r="L168" s="63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63"/>
      <c r="K169" s="63"/>
      <c r="L169" s="63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63"/>
      <c r="K170" s="63"/>
      <c r="L170" s="63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63"/>
      <c r="K171" s="63"/>
      <c r="L171" s="63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63"/>
      <c r="K172" s="63"/>
      <c r="L172" s="63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63"/>
      <c r="K173" s="63"/>
      <c r="L173" s="63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63"/>
      <c r="K174" s="63"/>
      <c r="L174" s="63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63"/>
      <c r="K175" s="63"/>
      <c r="L175" s="63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63"/>
      <c r="K176" s="63"/>
      <c r="L176" s="63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63"/>
      <c r="K177" s="63"/>
      <c r="L177" s="63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63"/>
      <c r="K178" s="63"/>
      <c r="L178" s="63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63"/>
      <c r="K179" s="63"/>
      <c r="L179" s="63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63"/>
      <c r="K180" s="63"/>
      <c r="L180" s="63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63"/>
      <c r="K181" s="63"/>
      <c r="L181" s="63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63"/>
      <c r="K182" s="63"/>
      <c r="L182" s="63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63"/>
      <c r="K183" s="63"/>
      <c r="L183" s="63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63"/>
      <c r="K184" s="63"/>
      <c r="L184" s="63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63"/>
      <c r="K185" s="63"/>
      <c r="L185" s="63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63"/>
      <c r="K186" s="63"/>
      <c r="L186" s="63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63"/>
      <c r="K187" s="63"/>
      <c r="L187" s="63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63"/>
      <c r="K188" s="63"/>
      <c r="L188" s="63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63"/>
      <c r="K189" s="63"/>
      <c r="L189" s="63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63"/>
      <c r="K190" s="63"/>
      <c r="L190" s="63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63"/>
      <c r="K191" s="63"/>
      <c r="L191" s="63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63"/>
      <c r="K192" s="63"/>
      <c r="L192" s="63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63"/>
      <c r="K193" s="63"/>
      <c r="L193" s="63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63"/>
      <c r="K194" s="63"/>
      <c r="L194" s="63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63"/>
      <c r="K195" s="63"/>
      <c r="L195" s="63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63"/>
      <c r="K196" s="63"/>
      <c r="L196" s="63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63"/>
      <c r="K197" s="63"/>
      <c r="L197" s="63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63"/>
      <c r="K198" s="63"/>
      <c r="L198" s="63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63"/>
      <c r="K199" s="63"/>
      <c r="L199" s="63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63"/>
      <c r="K200" s="63"/>
      <c r="L200" s="63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63"/>
      <c r="K201" s="63"/>
      <c r="L201" s="63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63"/>
      <c r="K202" s="63"/>
      <c r="L202" s="63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63"/>
      <c r="K203" s="63"/>
      <c r="L203" s="63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63"/>
      <c r="K204" s="63"/>
      <c r="L204" s="63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63"/>
      <c r="K205" s="63"/>
      <c r="L205" s="63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63"/>
      <c r="K206" s="63"/>
      <c r="L206" s="63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63"/>
      <c r="K207" s="63"/>
      <c r="L207" s="63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63"/>
      <c r="K208" s="63"/>
      <c r="L208" s="63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63"/>
      <c r="K209" s="63"/>
      <c r="L209" s="63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63"/>
      <c r="K210" s="63"/>
      <c r="L210" s="63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63"/>
      <c r="K211" s="63"/>
      <c r="L211" s="63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63"/>
      <c r="K212" s="63"/>
      <c r="L212" s="63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63"/>
      <c r="K213" s="63"/>
      <c r="L213" s="63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63"/>
      <c r="K214" s="63"/>
      <c r="L214" s="63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63"/>
      <c r="K215" s="63"/>
      <c r="L215" s="63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63"/>
      <c r="K216" s="63"/>
      <c r="L216" s="63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63"/>
      <c r="K217" s="63"/>
      <c r="L217" s="63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63"/>
      <c r="K218" s="63"/>
      <c r="L218" s="63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63"/>
      <c r="K219" s="63"/>
      <c r="L219" s="63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63"/>
      <c r="K220" s="63"/>
      <c r="L220" s="63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63"/>
      <c r="K221" s="63"/>
      <c r="L221" s="63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63"/>
      <c r="K222" s="63"/>
      <c r="L222" s="63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63"/>
      <c r="K223" s="63"/>
      <c r="L223" s="63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63"/>
      <c r="K224" s="63"/>
      <c r="L224" s="63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63"/>
      <c r="K225" s="63"/>
      <c r="L225" s="63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63"/>
      <c r="K226" s="63"/>
      <c r="L226" s="63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63"/>
      <c r="K227" s="63"/>
      <c r="L227" s="63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63"/>
      <c r="K228" s="63"/>
      <c r="L228" s="63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63"/>
      <c r="K229" s="63"/>
      <c r="L229" s="63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63"/>
      <c r="K230" s="63"/>
      <c r="L230" s="63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63"/>
      <c r="K231" s="63"/>
      <c r="L231" s="63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63"/>
      <c r="K232" s="63"/>
      <c r="L232" s="63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63"/>
      <c r="K233" s="63"/>
      <c r="L233" s="63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63"/>
      <c r="K234" s="63"/>
      <c r="L234" s="63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63"/>
      <c r="K235" s="63"/>
      <c r="L235" s="63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63"/>
      <c r="K236" s="63"/>
      <c r="L236" s="63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63"/>
      <c r="K237" s="63"/>
      <c r="L237" s="63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63"/>
      <c r="K238" s="63"/>
      <c r="L238" s="63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63"/>
      <c r="K239" s="63"/>
      <c r="L239" s="63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63"/>
      <c r="K240" s="63"/>
      <c r="L240" s="63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63"/>
      <c r="K241" s="63"/>
      <c r="L241" s="63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63"/>
      <c r="K242" s="63"/>
      <c r="L242" s="63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63"/>
      <c r="K243" s="63"/>
      <c r="L243" s="63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63"/>
      <c r="K244" s="63"/>
      <c r="L244" s="63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63"/>
      <c r="K245" s="63"/>
      <c r="L245" s="63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63"/>
      <c r="K246" s="63"/>
      <c r="L246" s="63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63"/>
      <c r="K247" s="63"/>
      <c r="L247" s="63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63"/>
      <c r="K248" s="63"/>
      <c r="L248" s="63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63"/>
      <c r="K249" s="63"/>
      <c r="L249" s="63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63"/>
      <c r="K250" s="63"/>
      <c r="L250" s="63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63"/>
      <c r="K251" s="63"/>
      <c r="L251" s="63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63"/>
      <c r="K252" s="63"/>
      <c r="L252" s="63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63"/>
      <c r="K253" s="63"/>
      <c r="L253" s="63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63"/>
      <c r="K254" s="63"/>
      <c r="L254" s="63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63"/>
      <c r="K255" s="63"/>
      <c r="L255" s="63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63"/>
      <c r="K256" s="63"/>
      <c r="L256" s="63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63"/>
      <c r="K257" s="63"/>
      <c r="L257" s="63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63"/>
      <c r="K258" s="63"/>
      <c r="L258" s="63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63"/>
      <c r="K259" s="63"/>
      <c r="L259" s="63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63"/>
      <c r="K260" s="63"/>
      <c r="L260" s="63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63"/>
      <c r="K261" s="63"/>
      <c r="L261" s="63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63"/>
      <c r="K262" s="63"/>
      <c r="L262" s="63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63"/>
      <c r="K263" s="63"/>
      <c r="L263" s="63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63"/>
      <c r="K264" s="63"/>
      <c r="L264" s="63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63"/>
      <c r="K265" s="63"/>
      <c r="L265" s="63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63"/>
      <c r="K266" s="63"/>
      <c r="L266" s="63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63"/>
      <c r="K267" s="63"/>
      <c r="L267" s="63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63"/>
      <c r="K268" s="63"/>
      <c r="L268" s="63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63"/>
      <c r="K269" s="63"/>
      <c r="L269" s="63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63"/>
      <c r="K270" s="63"/>
      <c r="L270" s="63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63"/>
      <c r="K271" s="63"/>
      <c r="L271" s="63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63"/>
      <c r="K272" s="63"/>
      <c r="L272" s="63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63"/>
      <c r="K273" s="63"/>
      <c r="L273" s="63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63"/>
      <c r="K274" s="63"/>
      <c r="L274" s="63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63"/>
      <c r="K275" s="63"/>
      <c r="L275" s="63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63"/>
      <c r="K276" s="63"/>
      <c r="L276" s="63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63"/>
      <c r="K277" s="63"/>
      <c r="L277" s="63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63"/>
      <c r="K278" s="63"/>
      <c r="L278" s="63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63"/>
      <c r="K279" s="63"/>
      <c r="L279" s="63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63"/>
      <c r="K280" s="63"/>
      <c r="L280" s="63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63"/>
      <c r="K281" s="63"/>
      <c r="L281" s="63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63"/>
      <c r="K282" s="63"/>
      <c r="L282" s="63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63"/>
      <c r="K283" s="63"/>
      <c r="L283" s="63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63"/>
      <c r="K284" s="63"/>
      <c r="L284" s="63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63"/>
      <c r="K285" s="63"/>
      <c r="L285" s="63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63"/>
      <c r="K286" s="63"/>
      <c r="L286" s="63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63"/>
      <c r="K287" s="63"/>
      <c r="L287" s="63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63"/>
      <c r="K288" s="63"/>
      <c r="L288" s="63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63"/>
      <c r="K289" s="63"/>
      <c r="L289" s="63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63"/>
      <c r="K290" s="63"/>
      <c r="L290" s="63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63"/>
      <c r="K291" s="63"/>
      <c r="L291" s="63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63"/>
      <c r="K292" s="63"/>
      <c r="L292" s="63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63"/>
      <c r="K293" s="63"/>
      <c r="L293" s="63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63"/>
      <c r="K294" s="63"/>
      <c r="L294" s="63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63"/>
      <c r="K295" s="63"/>
      <c r="L295" s="63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63"/>
      <c r="K296" s="63"/>
      <c r="L296" s="63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63"/>
      <c r="K297" s="63"/>
      <c r="L297" s="63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63"/>
      <c r="K298" s="63"/>
      <c r="L298" s="63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63"/>
      <c r="K299" s="63"/>
      <c r="L299" s="63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63"/>
      <c r="K300" s="63"/>
      <c r="L300" s="63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63"/>
      <c r="K301" s="63"/>
      <c r="L301" s="63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63"/>
      <c r="K302" s="63"/>
      <c r="L302" s="63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63"/>
      <c r="K303" s="63"/>
      <c r="L303" s="63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63"/>
      <c r="K304" s="63"/>
      <c r="L304" s="63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63"/>
      <c r="K305" s="63"/>
      <c r="L305" s="63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63"/>
      <c r="K306" s="63"/>
      <c r="L306" s="63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63"/>
      <c r="K307" s="63"/>
      <c r="L307" s="63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63"/>
      <c r="K308" s="63"/>
      <c r="L308" s="63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63"/>
      <c r="K309" s="63"/>
      <c r="L309" s="63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63"/>
      <c r="K310" s="63"/>
      <c r="L310" s="63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63"/>
      <c r="K311" s="63"/>
      <c r="L311" s="63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63"/>
      <c r="K312" s="63"/>
      <c r="L312" s="63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63"/>
      <c r="K313" s="63"/>
      <c r="L313" s="63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63"/>
      <c r="K314" s="63"/>
      <c r="L314" s="63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63"/>
      <c r="K315" s="63"/>
      <c r="L315" s="63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63"/>
      <c r="K316" s="63"/>
      <c r="L316" s="63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63"/>
      <c r="K317" s="63"/>
      <c r="L317" s="63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63"/>
      <c r="K318" s="63"/>
      <c r="L318" s="63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63"/>
      <c r="K319" s="63"/>
      <c r="L319" s="63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63"/>
      <c r="K320" s="63"/>
      <c r="L320" s="63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63"/>
      <c r="K321" s="63"/>
      <c r="L321" s="63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63"/>
      <c r="K322" s="63"/>
      <c r="L322" s="63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63"/>
      <c r="K323" s="63"/>
      <c r="L323" s="63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63"/>
      <c r="K324" s="63"/>
      <c r="L324" s="63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63"/>
      <c r="K325" s="63"/>
      <c r="L325" s="63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63"/>
      <c r="K326" s="63"/>
      <c r="L326" s="63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63"/>
      <c r="K327" s="63"/>
      <c r="L327" s="63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63"/>
      <c r="K328" s="63"/>
      <c r="L328" s="63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63"/>
      <c r="K329" s="63"/>
      <c r="L329" s="63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63"/>
      <c r="K330" s="63"/>
      <c r="L330" s="63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63"/>
      <c r="K331" s="63"/>
      <c r="L331" s="63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63"/>
      <c r="K332" s="63"/>
      <c r="L332" s="63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63"/>
      <c r="K333" s="63"/>
      <c r="L333" s="63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63"/>
      <c r="K334" s="63"/>
      <c r="L334" s="63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63"/>
      <c r="K335" s="63"/>
      <c r="L335" s="63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63"/>
      <c r="K336" s="63"/>
      <c r="L336" s="63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63"/>
      <c r="K337" s="63"/>
      <c r="L337" s="63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63"/>
      <c r="K338" s="63"/>
      <c r="L338" s="63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63"/>
      <c r="K339" s="63"/>
      <c r="L339" s="63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63"/>
      <c r="K340" s="63"/>
      <c r="L340" s="63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63"/>
      <c r="K341" s="63"/>
      <c r="L341" s="63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63"/>
      <c r="K342" s="63"/>
      <c r="L342" s="63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63"/>
      <c r="K343" s="63"/>
      <c r="L343" s="63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63"/>
      <c r="K344" s="63"/>
      <c r="L344" s="63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63"/>
      <c r="K345" s="63"/>
      <c r="L345" s="63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63"/>
      <c r="K346" s="63"/>
      <c r="L346" s="63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63"/>
      <c r="K347" s="63"/>
      <c r="L347" s="63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63"/>
      <c r="K348" s="63"/>
      <c r="L348" s="63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63"/>
      <c r="K349" s="63"/>
      <c r="L349" s="63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63"/>
      <c r="K350" s="63"/>
      <c r="L350" s="63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63"/>
      <c r="K351" s="63"/>
      <c r="L351" s="63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63"/>
      <c r="K352" s="63"/>
      <c r="L352" s="63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63"/>
      <c r="K353" s="63"/>
      <c r="L353" s="63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63"/>
      <c r="K354" s="63"/>
      <c r="L354" s="63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63"/>
      <c r="K355" s="63"/>
      <c r="L355" s="63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63"/>
      <c r="K356" s="63"/>
      <c r="L356" s="63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63"/>
      <c r="K357" s="63"/>
      <c r="L357" s="63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63"/>
      <c r="K358" s="63"/>
      <c r="L358" s="63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63"/>
      <c r="K359" s="63"/>
      <c r="L359" s="63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63"/>
      <c r="K360" s="63"/>
      <c r="L360" s="63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63"/>
      <c r="K361" s="63"/>
      <c r="L361" s="63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63"/>
      <c r="K362" s="63"/>
      <c r="L362" s="63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63"/>
      <c r="K363" s="63"/>
      <c r="L363" s="63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63"/>
      <c r="K364" s="63"/>
      <c r="L364" s="63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63"/>
      <c r="K365" s="63"/>
      <c r="L365" s="63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63"/>
      <c r="K366" s="63"/>
      <c r="L366" s="63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63"/>
      <c r="K367" s="63"/>
      <c r="L367" s="63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63"/>
      <c r="K368" s="63"/>
      <c r="L368" s="63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63"/>
      <c r="K369" s="63"/>
      <c r="L369" s="63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63"/>
      <c r="K370" s="63"/>
      <c r="L370" s="63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63"/>
      <c r="K371" s="63"/>
      <c r="L371" s="63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63"/>
      <c r="K372" s="63"/>
      <c r="L372" s="63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63"/>
      <c r="K373" s="63"/>
      <c r="L373" s="63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63"/>
      <c r="K374" s="63"/>
      <c r="L374" s="63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63"/>
      <c r="K375" s="63"/>
      <c r="L375" s="63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63"/>
      <c r="K376" s="63"/>
      <c r="L376" s="63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63"/>
      <c r="K377" s="63"/>
      <c r="L377" s="63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63"/>
      <c r="K378" s="63"/>
      <c r="L378" s="63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63"/>
      <c r="K379" s="63"/>
      <c r="L379" s="63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63"/>
      <c r="K380" s="63"/>
      <c r="L380" s="63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63"/>
      <c r="K381" s="63"/>
      <c r="L381" s="63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63"/>
      <c r="K382" s="63"/>
      <c r="L382" s="63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63"/>
      <c r="K383" s="63"/>
      <c r="L383" s="63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63"/>
      <c r="K384" s="63"/>
      <c r="L384" s="63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63"/>
      <c r="K385" s="63"/>
      <c r="L385" s="63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63"/>
      <c r="K386" s="63"/>
      <c r="L386" s="63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63"/>
      <c r="K387" s="63"/>
      <c r="L387" s="63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63"/>
      <c r="K388" s="63"/>
      <c r="L388" s="63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63"/>
      <c r="K389" s="63"/>
      <c r="L389" s="63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63"/>
      <c r="K390" s="63"/>
      <c r="L390" s="63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63"/>
      <c r="K391" s="63"/>
      <c r="L391" s="63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63"/>
      <c r="K392" s="63"/>
      <c r="L392" s="63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63"/>
      <c r="K393" s="63"/>
      <c r="L393" s="63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63"/>
      <c r="K394" s="63"/>
      <c r="L394" s="63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63"/>
      <c r="K395" s="63"/>
      <c r="L395" s="63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63"/>
      <c r="K396" s="63"/>
      <c r="L396" s="63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63"/>
      <c r="K397" s="63"/>
      <c r="L397" s="63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63"/>
      <c r="K398" s="63"/>
      <c r="L398" s="63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63"/>
      <c r="K399" s="63"/>
      <c r="L399" s="63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63"/>
      <c r="K400" s="63"/>
      <c r="L400" s="63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63"/>
      <c r="K401" s="63"/>
      <c r="L401" s="63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63"/>
      <c r="K402" s="63"/>
      <c r="L402" s="63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63"/>
      <c r="K403" s="63"/>
      <c r="L403" s="63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63"/>
      <c r="K404" s="63"/>
      <c r="L404" s="63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63"/>
      <c r="K405" s="63"/>
      <c r="L405" s="63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63"/>
      <c r="K406" s="63"/>
      <c r="L406" s="63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63"/>
      <c r="K407" s="63"/>
      <c r="L407" s="63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63"/>
      <c r="K408" s="63"/>
      <c r="L408" s="63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63"/>
      <c r="K409" s="63"/>
      <c r="L409" s="63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63"/>
      <c r="K410" s="63"/>
      <c r="L410" s="63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63"/>
      <c r="K411" s="63"/>
      <c r="L411" s="63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63"/>
      <c r="K412" s="63"/>
      <c r="L412" s="63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63"/>
      <c r="K413" s="63"/>
      <c r="L413" s="63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63"/>
      <c r="K414" s="63"/>
      <c r="L414" s="63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63"/>
      <c r="K415" s="63"/>
      <c r="L415" s="63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63"/>
      <c r="K416" s="63"/>
      <c r="L416" s="63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63"/>
      <c r="K417" s="63"/>
      <c r="L417" s="63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63"/>
      <c r="K418" s="63"/>
      <c r="L418" s="63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63"/>
      <c r="K419" s="63"/>
      <c r="L419" s="63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63"/>
      <c r="K420" s="63"/>
      <c r="L420" s="63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63"/>
      <c r="K421" s="63"/>
      <c r="L421" s="63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63"/>
      <c r="K422" s="63"/>
      <c r="L422" s="63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63"/>
      <c r="K423" s="63"/>
      <c r="L423" s="63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63"/>
      <c r="K424" s="63"/>
      <c r="L424" s="63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63"/>
      <c r="K425" s="63"/>
      <c r="L425" s="63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63"/>
      <c r="K426" s="63"/>
      <c r="L426" s="63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63"/>
      <c r="K427" s="63"/>
      <c r="L427" s="63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63"/>
      <c r="K428" s="63"/>
      <c r="L428" s="63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63"/>
      <c r="K429" s="63"/>
      <c r="L429" s="63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63"/>
      <c r="K430" s="63"/>
      <c r="L430" s="63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63"/>
      <c r="K431" s="63"/>
      <c r="L431" s="63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63"/>
      <c r="K432" s="63"/>
      <c r="L432" s="63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63"/>
      <c r="K433" s="63"/>
      <c r="L433" s="63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63"/>
      <c r="K434" s="63"/>
      <c r="L434" s="63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63"/>
      <c r="K435" s="63"/>
      <c r="L435" s="63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63"/>
      <c r="K436" s="63"/>
      <c r="L436" s="63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63"/>
      <c r="K437" s="63"/>
      <c r="L437" s="63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63"/>
      <c r="K438" s="63"/>
      <c r="L438" s="63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63"/>
      <c r="K439" s="63"/>
      <c r="L439" s="63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63"/>
      <c r="K440" s="63"/>
      <c r="L440" s="63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63"/>
      <c r="K441" s="63"/>
      <c r="L441" s="63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63"/>
      <c r="K442" s="63"/>
      <c r="L442" s="63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63"/>
      <c r="K443" s="63"/>
      <c r="L443" s="63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63"/>
      <c r="K444" s="63"/>
      <c r="L444" s="63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63"/>
      <c r="K445" s="63"/>
      <c r="L445" s="63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63"/>
      <c r="K446" s="63"/>
      <c r="L446" s="63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63"/>
      <c r="K447" s="63"/>
      <c r="L447" s="63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63"/>
      <c r="K448" s="63"/>
      <c r="L448" s="63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63"/>
      <c r="K449" s="63"/>
      <c r="L449" s="63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63"/>
      <c r="K450" s="63"/>
      <c r="L450" s="63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63"/>
      <c r="K451" s="63"/>
      <c r="L451" s="63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63"/>
      <c r="K452" s="63"/>
      <c r="L452" s="63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63"/>
      <c r="K453" s="63"/>
      <c r="L453" s="63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63"/>
      <c r="K454" s="63"/>
      <c r="L454" s="63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63"/>
      <c r="K455" s="63"/>
      <c r="L455" s="63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63"/>
      <c r="K456" s="63"/>
      <c r="L456" s="63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63"/>
      <c r="K457" s="63"/>
      <c r="L457" s="63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63"/>
      <c r="K458" s="63"/>
      <c r="L458" s="63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63"/>
      <c r="K459" s="63"/>
      <c r="L459" s="63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63"/>
      <c r="K460" s="63"/>
      <c r="L460" s="63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63"/>
      <c r="K461" s="63"/>
      <c r="L461" s="63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63"/>
      <c r="K462" s="63"/>
      <c r="L462" s="63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63"/>
      <c r="K463" s="63"/>
      <c r="L463" s="63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63"/>
      <c r="K464" s="63"/>
      <c r="L464" s="63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63"/>
      <c r="K465" s="63"/>
      <c r="L465" s="63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63"/>
      <c r="K466" s="63"/>
      <c r="L466" s="63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63"/>
      <c r="K467" s="63"/>
      <c r="L467" s="63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63"/>
      <c r="K468" s="63"/>
      <c r="L468" s="63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63"/>
      <c r="K469" s="63"/>
      <c r="L469" s="63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63"/>
      <c r="K470" s="63"/>
      <c r="L470" s="63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63"/>
      <c r="K471" s="63"/>
      <c r="L471" s="63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63"/>
      <c r="K472" s="63"/>
      <c r="L472" s="63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63"/>
      <c r="K473" s="63"/>
      <c r="L473" s="63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63"/>
      <c r="K474" s="63"/>
      <c r="L474" s="63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63"/>
      <c r="K475" s="63"/>
      <c r="L475" s="63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63"/>
      <c r="K476" s="63"/>
      <c r="L476" s="63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63"/>
      <c r="K477" s="63"/>
      <c r="L477" s="63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63"/>
      <c r="K478" s="63"/>
      <c r="L478" s="63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63"/>
      <c r="K479" s="63"/>
      <c r="L479" s="63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63"/>
      <c r="K480" s="63"/>
      <c r="L480" s="63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63"/>
      <c r="K481" s="63"/>
      <c r="L481" s="63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63"/>
      <c r="K482" s="63"/>
      <c r="L482" s="63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63"/>
      <c r="K483" s="63"/>
      <c r="L483" s="63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63"/>
      <c r="K484" s="63"/>
      <c r="L484" s="63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63"/>
      <c r="K485" s="63"/>
      <c r="L485" s="63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63"/>
      <c r="K486" s="63"/>
      <c r="L486" s="63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63"/>
      <c r="K487" s="63"/>
      <c r="L487" s="63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63"/>
      <c r="K488" s="63"/>
      <c r="L488" s="63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63"/>
      <c r="K489" s="63"/>
      <c r="L489" s="63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63"/>
      <c r="K490" s="63"/>
      <c r="L490" s="63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63"/>
      <c r="K491" s="63"/>
      <c r="L491" s="63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63"/>
      <c r="K492" s="63"/>
      <c r="L492" s="63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63"/>
      <c r="K493" s="63"/>
      <c r="L493" s="63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63"/>
      <c r="K494" s="63"/>
      <c r="L494" s="63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63"/>
      <c r="K495" s="63"/>
      <c r="L495" s="63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63"/>
      <c r="K496" s="63"/>
      <c r="L496" s="63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63"/>
      <c r="K497" s="63"/>
      <c r="L497" s="63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63"/>
      <c r="K498" s="63"/>
      <c r="L498" s="63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63"/>
      <c r="K499" s="63"/>
      <c r="L499" s="63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63"/>
      <c r="K500" s="63"/>
      <c r="L500" s="63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63"/>
      <c r="K501" s="63"/>
      <c r="L501" s="63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63"/>
      <c r="K502" s="63"/>
      <c r="L502" s="63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63"/>
      <c r="K503" s="63"/>
      <c r="L503" s="63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63"/>
      <c r="K504" s="63"/>
      <c r="L504" s="63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63"/>
      <c r="K505" s="63"/>
      <c r="L505" s="63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63"/>
      <c r="K506" s="63"/>
      <c r="L506" s="63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63"/>
      <c r="K507" s="63"/>
      <c r="L507" s="63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63"/>
      <c r="K508" s="63"/>
      <c r="L508" s="63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63"/>
      <c r="K509" s="63"/>
      <c r="L509" s="63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63"/>
      <c r="K510" s="63"/>
      <c r="L510" s="63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63"/>
      <c r="K511" s="63"/>
      <c r="L511" s="63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63"/>
      <c r="K512" s="63"/>
      <c r="L512" s="63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63"/>
      <c r="K513" s="63"/>
      <c r="L513" s="63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63"/>
      <c r="K514" s="63"/>
      <c r="L514" s="63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63"/>
      <c r="K515" s="63"/>
      <c r="L515" s="63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63"/>
      <c r="K516" s="63"/>
      <c r="L516" s="63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63"/>
      <c r="K517" s="63"/>
      <c r="L517" s="63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63"/>
      <c r="K518" s="63"/>
      <c r="L518" s="63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63"/>
      <c r="K519" s="63"/>
      <c r="L519" s="63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63"/>
      <c r="K520" s="63"/>
      <c r="L520" s="63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63"/>
      <c r="K521" s="63"/>
      <c r="L521" s="63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63"/>
      <c r="K522" s="63"/>
      <c r="L522" s="63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63"/>
      <c r="K523" s="63"/>
      <c r="L523" s="63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63"/>
      <c r="K524" s="63"/>
      <c r="L524" s="63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63"/>
      <c r="K525" s="63"/>
      <c r="L525" s="63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63"/>
      <c r="K526" s="63"/>
      <c r="L526" s="63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63"/>
      <c r="K527" s="63"/>
      <c r="L527" s="63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63"/>
      <c r="K528" s="63"/>
      <c r="L528" s="63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63"/>
      <c r="K529" s="63"/>
      <c r="L529" s="63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63"/>
      <c r="K530" s="63"/>
      <c r="L530" s="63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63"/>
      <c r="K531" s="63"/>
      <c r="L531" s="63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63"/>
      <c r="K532" s="63"/>
      <c r="L532" s="63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63"/>
      <c r="K533" s="63"/>
      <c r="L533" s="63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63"/>
      <c r="K534" s="63"/>
      <c r="L534" s="63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63"/>
      <c r="K535" s="63"/>
      <c r="L535" s="63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63"/>
      <c r="K536" s="63"/>
      <c r="L536" s="63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63"/>
      <c r="K537" s="63"/>
      <c r="L537" s="63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63"/>
      <c r="K538" s="63"/>
      <c r="L538" s="63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63"/>
      <c r="K539" s="63"/>
      <c r="L539" s="63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63"/>
      <c r="K540" s="63"/>
      <c r="L540" s="63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63"/>
      <c r="K541" s="63"/>
      <c r="L541" s="63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63"/>
      <c r="K542" s="63"/>
      <c r="L542" s="63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63"/>
      <c r="K543" s="63"/>
      <c r="L543" s="63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63"/>
      <c r="K544" s="63"/>
      <c r="L544" s="63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63"/>
      <c r="K545" s="63"/>
      <c r="L545" s="63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63"/>
      <c r="K546" s="63"/>
      <c r="L546" s="63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63"/>
      <c r="K547" s="63"/>
      <c r="L547" s="63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63"/>
      <c r="K548" s="63"/>
      <c r="L548" s="63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63"/>
      <c r="K549" s="63"/>
      <c r="L549" s="63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63"/>
      <c r="K550" s="63"/>
      <c r="L550" s="63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63"/>
      <c r="K551" s="63"/>
      <c r="L551" s="63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63"/>
      <c r="K552" s="63"/>
      <c r="L552" s="63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63"/>
      <c r="K553" s="63"/>
      <c r="L553" s="63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63"/>
      <c r="K554" s="63"/>
      <c r="L554" s="63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63"/>
      <c r="K555" s="63"/>
      <c r="L555" s="63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63"/>
      <c r="K556" s="63"/>
      <c r="L556" s="63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63"/>
      <c r="K557" s="63"/>
      <c r="L557" s="63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63"/>
      <c r="K558" s="63"/>
      <c r="L558" s="63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63"/>
      <c r="K559" s="63"/>
      <c r="L559" s="63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63"/>
      <c r="K560" s="63"/>
      <c r="L560" s="63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63"/>
      <c r="K561" s="63"/>
      <c r="L561" s="63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63"/>
      <c r="K562" s="63"/>
      <c r="L562" s="63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63"/>
      <c r="K563" s="63"/>
      <c r="L563" s="63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63"/>
      <c r="K564" s="63"/>
      <c r="L564" s="63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63"/>
      <c r="K565" s="63"/>
      <c r="L565" s="63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63"/>
      <c r="K566" s="63"/>
      <c r="L566" s="63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63"/>
      <c r="K567" s="63"/>
      <c r="L567" s="63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63"/>
      <c r="K568" s="63"/>
      <c r="L568" s="63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63"/>
      <c r="K569" s="63"/>
      <c r="L569" s="63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63"/>
      <c r="K570" s="63"/>
      <c r="L570" s="63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63"/>
      <c r="K571" s="63"/>
      <c r="L571" s="63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63"/>
      <c r="K572" s="63"/>
      <c r="L572" s="63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63"/>
      <c r="K573" s="63"/>
      <c r="L573" s="63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63"/>
      <c r="K574" s="63"/>
      <c r="L574" s="63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63"/>
      <c r="K575" s="63"/>
      <c r="L575" s="63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63"/>
      <c r="K576" s="63"/>
      <c r="L576" s="63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63"/>
      <c r="K577" s="63"/>
      <c r="L577" s="63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63"/>
      <c r="K578" s="63"/>
      <c r="L578" s="63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63"/>
      <c r="K579" s="63"/>
      <c r="L579" s="63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63"/>
      <c r="K580" s="63"/>
      <c r="L580" s="63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63"/>
      <c r="K581" s="63"/>
      <c r="L581" s="63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63"/>
      <c r="K582" s="63"/>
      <c r="L582" s="63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63"/>
      <c r="K583" s="63"/>
      <c r="L583" s="63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63"/>
      <c r="K584" s="63"/>
      <c r="L584" s="63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63"/>
      <c r="K585" s="63"/>
      <c r="L585" s="63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63"/>
      <c r="K586" s="63"/>
      <c r="L586" s="63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63"/>
      <c r="K587" s="63"/>
      <c r="L587" s="63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63"/>
      <c r="K588" s="63"/>
      <c r="L588" s="63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63"/>
      <c r="K589" s="63"/>
      <c r="L589" s="63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63"/>
      <c r="K590" s="63"/>
      <c r="L590" s="63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63"/>
      <c r="K591" s="63"/>
      <c r="L591" s="63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63"/>
      <c r="K592" s="63"/>
      <c r="L592" s="63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63"/>
      <c r="K593" s="63"/>
      <c r="L593" s="63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63"/>
      <c r="K594" s="63"/>
      <c r="L594" s="63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63"/>
      <c r="K595" s="63"/>
      <c r="L595" s="63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63"/>
      <c r="K596" s="63"/>
      <c r="L596" s="63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63"/>
      <c r="K597" s="63"/>
      <c r="L597" s="63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63"/>
      <c r="K598" s="63"/>
      <c r="L598" s="63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63"/>
      <c r="K599" s="63"/>
      <c r="L599" s="63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63"/>
      <c r="K600" s="63"/>
      <c r="L600" s="63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63"/>
      <c r="K601" s="63"/>
      <c r="L601" s="63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63"/>
      <c r="K602" s="63"/>
      <c r="L602" s="63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63"/>
      <c r="K603" s="63"/>
      <c r="L603" s="63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63"/>
      <c r="K604" s="63"/>
      <c r="L604" s="63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63"/>
      <c r="K605" s="63"/>
      <c r="L605" s="63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63"/>
      <c r="K606" s="63"/>
      <c r="L606" s="63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63"/>
      <c r="K607" s="63"/>
      <c r="L607" s="63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63"/>
      <c r="K608" s="63"/>
      <c r="L608" s="63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63"/>
      <c r="K609" s="63"/>
      <c r="L609" s="63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63"/>
      <c r="K610" s="63"/>
      <c r="L610" s="63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63"/>
      <c r="K611" s="63"/>
      <c r="L611" s="63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63"/>
      <c r="K612" s="63"/>
      <c r="L612" s="63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63"/>
      <c r="K613" s="63"/>
      <c r="L613" s="63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63"/>
      <c r="K614" s="63"/>
      <c r="L614" s="63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63"/>
      <c r="K615" s="63"/>
      <c r="L615" s="63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63"/>
      <c r="K616" s="63"/>
      <c r="L616" s="63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63"/>
      <c r="K617" s="63"/>
      <c r="L617" s="63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63"/>
      <c r="K618" s="63"/>
      <c r="L618" s="63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63"/>
      <c r="K619" s="63"/>
      <c r="L619" s="63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63"/>
      <c r="K620" s="63"/>
      <c r="L620" s="63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63"/>
      <c r="K621" s="63"/>
      <c r="L621" s="63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63"/>
      <c r="K622" s="63"/>
      <c r="L622" s="63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63"/>
      <c r="K623" s="63"/>
      <c r="L623" s="63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63"/>
      <c r="K624" s="63"/>
      <c r="L624" s="63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63"/>
      <c r="K625" s="63"/>
      <c r="L625" s="63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63"/>
      <c r="K626" s="63"/>
      <c r="L626" s="63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63"/>
      <c r="K627" s="63"/>
      <c r="L627" s="63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63"/>
      <c r="K628" s="63"/>
      <c r="L628" s="63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63"/>
      <c r="K629" s="63"/>
      <c r="L629" s="63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63"/>
      <c r="K630" s="63"/>
      <c r="L630" s="63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63"/>
      <c r="K631" s="63"/>
      <c r="L631" s="63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63"/>
      <c r="K632" s="63"/>
      <c r="L632" s="63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63"/>
      <c r="K633" s="63"/>
      <c r="L633" s="63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63"/>
      <c r="K634" s="63"/>
      <c r="L634" s="63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63"/>
      <c r="K635" s="63"/>
      <c r="L635" s="63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63"/>
      <c r="K636" s="63"/>
      <c r="L636" s="63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63"/>
      <c r="K637" s="63"/>
      <c r="L637" s="63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63"/>
      <c r="K638" s="63"/>
      <c r="L638" s="63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63"/>
      <c r="K639" s="63"/>
      <c r="L639" s="63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63"/>
      <c r="K640" s="63"/>
      <c r="L640" s="63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63"/>
      <c r="K641" s="63"/>
      <c r="L641" s="63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63"/>
      <c r="K642" s="63"/>
      <c r="L642" s="63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63"/>
      <c r="K643" s="63"/>
      <c r="L643" s="63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63"/>
      <c r="K644" s="63"/>
      <c r="L644" s="63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63"/>
      <c r="K645" s="63"/>
      <c r="L645" s="63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63"/>
      <c r="K646" s="63"/>
      <c r="L646" s="63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63"/>
      <c r="K647" s="63"/>
      <c r="L647" s="63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63"/>
      <c r="K648" s="63"/>
      <c r="L648" s="63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63"/>
      <c r="K649" s="63"/>
      <c r="L649" s="63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63"/>
      <c r="K650" s="63"/>
      <c r="L650" s="63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63"/>
      <c r="K651" s="63"/>
      <c r="L651" s="63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63"/>
      <c r="K652" s="63"/>
      <c r="L652" s="63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63"/>
      <c r="K653" s="63"/>
      <c r="L653" s="63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63"/>
      <c r="K654" s="63"/>
      <c r="L654" s="63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63"/>
      <c r="K655" s="63"/>
      <c r="L655" s="63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63"/>
      <c r="K656" s="63"/>
      <c r="L656" s="63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63"/>
      <c r="K657" s="63"/>
      <c r="L657" s="63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63"/>
      <c r="K658" s="63"/>
      <c r="L658" s="63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63"/>
      <c r="K659" s="63"/>
      <c r="L659" s="63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63"/>
      <c r="K660" s="63"/>
      <c r="L660" s="63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63"/>
      <c r="K661" s="63"/>
      <c r="L661" s="63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63"/>
      <c r="K662" s="63"/>
      <c r="L662" s="63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63"/>
      <c r="K663" s="63"/>
      <c r="L663" s="63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63"/>
      <c r="K664" s="63"/>
      <c r="L664" s="63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63"/>
      <c r="K665" s="63"/>
      <c r="L665" s="63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63"/>
      <c r="K666" s="63"/>
      <c r="L666" s="63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63"/>
      <c r="K667" s="63"/>
      <c r="L667" s="63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63"/>
      <c r="K668" s="63"/>
      <c r="L668" s="63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63"/>
      <c r="K669" s="63"/>
      <c r="L669" s="63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63"/>
      <c r="K670" s="63"/>
      <c r="L670" s="63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63"/>
      <c r="K671" s="63"/>
      <c r="L671" s="63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63"/>
      <c r="K672" s="63"/>
      <c r="L672" s="63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63"/>
      <c r="K673" s="63"/>
      <c r="L673" s="63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63"/>
      <c r="K674" s="63"/>
      <c r="L674" s="63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63"/>
      <c r="K675" s="63"/>
      <c r="L675" s="63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63"/>
      <c r="K676" s="63"/>
      <c r="L676" s="63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63"/>
      <c r="K677" s="63"/>
      <c r="L677" s="63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63"/>
      <c r="K678" s="63"/>
      <c r="L678" s="63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63"/>
      <c r="K679" s="63"/>
      <c r="L679" s="63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63"/>
      <c r="K680" s="63"/>
      <c r="L680" s="63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63"/>
      <c r="K681" s="63"/>
      <c r="L681" s="63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63"/>
      <c r="K682" s="63"/>
      <c r="L682" s="63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63"/>
      <c r="K683" s="63"/>
      <c r="L683" s="63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63"/>
      <c r="K684" s="63"/>
      <c r="L684" s="63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63"/>
      <c r="K685" s="63"/>
      <c r="L685" s="63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63"/>
      <c r="K686" s="63"/>
      <c r="L686" s="63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63"/>
      <c r="K687" s="63"/>
      <c r="L687" s="63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63"/>
      <c r="K688" s="63"/>
      <c r="L688" s="63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63"/>
      <c r="K689" s="63"/>
      <c r="L689" s="63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63"/>
      <c r="K690" s="63"/>
      <c r="L690" s="63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63"/>
      <c r="K691" s="63"/>
      <c r="L691" s="63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63"/>
      <c r="K692" s="63"/>
      <c r="L692" s="63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63"/>
      <c r="K693" s="63"/>
      <c r="L693" s="63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63"/>
      <c r="K694" s="63"/>
      <c r="L694" s="63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63"/>
      <c r="K695" s="63"/>
      <c r="L695" s="63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63"/>
      <c r="K696" s="63"/>
      <c r="L696" s="63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63"/>
      <c r="K697" s="63"/>
      <c r="L697" s="63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63"/>
      <c r="K698" s="63"/>
      <c r="L698" s="63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63"/>
      <c r="K699" s="63"/>
      <c r="L699" s="63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63"/>
      <c r="K700" s="63"/>
      <c r="L700" s="63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63"/>
      <c r="K701" s="63"/>
      <c r="L701" s="63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63"/>
      <c r="K702" s="63"/>
      <c r="L702" s="63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63"/>
      <c r="K703" s="63"/>
      <c r="L703" s="63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63"/>
      <c r="K704" s="63"/>
      <c r="L704" s="63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63"/>
      <c r="K705" s="63"/>
      <c r="L705" s="63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63"/>
      <c r="K706" s="63"/>
      <c r="L706" s="63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63"/>
      <c r="K707" s="63"/>
      <c r="L707" s="63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63"/>
      <c r="K708" s="63"/>
      <c r="L708" s="63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63"/>
      <c r="K709" s="63"/>
      <c r="L709" s="63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63"/>
      <c r="K710" s="63"/>
      <c r="L710" s="63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63"/>
      <c r="K711" s="63"/>
      <c r="L711" s="63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63"/>
      <c r="K712" s="63"/>
      <c r="L712" s="63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63"/>
      <c r="K713" s="63"/>
      <c r="L713" s="63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63"/>
      <c r="K714" s="63"/>
      <c r="L714" s="63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63"/>
      <c r="K715" s="63"/>
      <c r="L715" s="63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63"/>
      <c r="K716" s="63"/>
      <c r="L716" s="63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63"/>
      <c r="K717" s="63"/>
      <c r="L717" s="63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63"/>
      <c r="K718" s="63"/>
      <c r="L718" s="63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63"/>
      <c r="K719" s="63"/>
      <c r="L719" s="63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63"/>
      <c r="K720" s="63"/>
      <c r="L720" s="63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63"/>
      <c r="K721" s="63"/>
      <c r="L721" s="63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63"/>
      <c r="K722" s="63"/>
      <c r="L722" s="63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63"/>
      <c r="K723" s="63"/>
      <c r="L723" s="63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63"/>
      <c r="K724" s="63"/>
      <c r="L724" s="63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63"/>
      <c r="K725" s="63"/>
      <c r="L725" s="63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63"/>
      <c r="K726" s="63"/>
      <c r="L726" s="63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63"/>
      <c r="K727" s="63"/>
      <c r="L727" s="63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63"/>
      <c r="K728" s="63"/>
      <c r="L728" s="63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63"/>
      <c r="K729" s="63"/>
      <c r="L729" s="63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63"/>
      <c r="K730" s="63"/>
      <c r="L730" s="63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63"/>
      <c r="K731" s="63"/>
      <c r="L731" s="63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63"/>
      <c r="K732" s="63"/>
      <c r="L732" s="63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63"/>
      <c r="K733" s="63"/>
      <c r="L733" s="63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63"/>
      <c r="K734" s="63"/>
      <c r="L734" s="63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63"/>
      <c r="K735" s="63"/>
      <c r="L735" s="63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63"/>
      <c r="K736" s="63"/>
      <c r="L736" s="63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63"/>
      <c r="K737" s="63"/>
      <c r="L737" s="63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63"/>
      <c r="K738" s="63"/>
      <c r="L738" s="63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63"/>
      <c r="K739" s="63"/>
      <c r="L739" s="63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63"/>
      <c r="K740" s="63"/>
      <c r="L740" s="63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63"/>
      <c r="K741" s="63"/>
      <c r="L741" s="63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63"/>
      <c r="K742" s="63"/>
      <c r="L742" s="63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63"/>
      <c r="K743" s="63"/>
      <c r="L743" s="63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63"/>
      <c r="K744" s="63"/>
      <c r="L744" s="63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63"/>
      <c r="K745" s="63"/>
      <c r="L745" s="63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63"/>
      <c r="K746" s="63"/>
      <c r="L746" s="63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63"/>
      <c r="K747" s="63"/>
      <c r="L747" s="63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63"/>
      <c r="K748" s="63"/>
      <c r="L748" s="63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63"/>
      <c r="K749" s="63"/>
      <c r="L749" s="63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63"/>
      <c r="K750" s="63"/>
      <c r="L750" s="63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63"/>
      <c r="K751" s="63"/>
      <c r="L751" s="63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63"/>
      <c r="K752" s="63"/>
      <c r="L752" s="63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63"/>
      <c r="K753" s="63"/>
      <c r="L753" s="63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63"/>
      <c r="K754" s="63"/>
      <c r="L754" s="63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63"/>
      <c r="K755" s="63"/>
      <c r="L755" s="63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63"/>
      <c r="K756" s="63"/>
      <c r="L756" s="63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63"/>
      <c r="K757" s="63"/>
      <c r="L757" s="63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63"/>
      <c r="K758" s="63"/>
      <c r="L758" s="63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63"/>
      <c r="K759" s="63"/>
      <c r="L759" s="63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63"/>
      <c r="K760" s="63"/>
      <c r="L760" s="63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63"/>
      <c r="K761" s="63"/>
      <c r="L761" s="63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63"/>
      <c r="K762" s="63"/>
      <c r="L762" s="63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63"/>
      <c r="K763" s="63"/>
      <c r="L763" s="63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63"/>
      <c r="K764" s="63"/>
      <c r="L764" s="63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63"/>
      <c r="K765" s="63"/>
      <c r="L765" s="63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63"/>
      <c r="K766" s="63"/>
      <c r="L766" s="63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63"/>
      <c r="K767" s="63"/>
      <c r="L767" s="63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63"/>
      <c r="K768" s="63"/>
      <c r="L768" s="63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63"/>
      <c r="K769" s="63"/>
      <c r="L769" s="63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63"/>
      <c r="K770" s="63"/>
      <c r="L770" s="63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63"/>
      <c r="K771" s="63"/>
      <c r="L771" s="63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63"/>
      <c r="K772" s="63"/>
      <c r="L772" s="63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63"/>
      <c r="K773" s="63"/>
      <c r="L773" s="63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63"/>
      <c r="K774" s="63"/>
      <c r="L774" s="63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63"/>
      <c r="K775" s="63"/>
      <c r="L775" s="63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63"/>
      <c r="K776" s="63"/>
      <c r="L776" s="63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63"/>
      <c r="K777" s="63"/>
      <c r="L777" s="63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63"/>
      <c r="K778" s="63"/>
      <c r="L778" s="63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63"/>
      <c r="K779" s="63"/>
      <c r="L779" s="63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63"/>
      <c r="K780" s="63"/>
      <c r="L780" s="63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63"/>
      <c r="K781" s="63"/>
      <c r="L781" s="63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63"/>
      <c r="K782" s="63"/>
      <c r="L782" s="63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63"/>
      <c r="K783" s="63"/>
      <c r="L783" s="63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63"/>
      <c r="K784" s="63"/>
      <c r="L784" s="63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63"/>
      <c r="K785" s="63"/>
      <c r="L785" s="63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63"/>
      <c r="K786" s="63"/>
      <c r="L786" s="63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63"/>
      <c r="K787" s="63"/>
      <c r="L787" s="63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63"/>
      <c r="K788" s="63"/>
      <c r="L788" s="63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63"/>
      <c r="K789" s="63"/>
      <c r="L789" s="63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63"/>
      <c r="K790" s="63"/>
      <c r="L790" s="63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63"/>
      <c r="K791" s="63"/>
      <c r="L791" s="63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63"/>
      <c r="K792" s="63"/>
      <c r="L792" s="63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63"/>
      <c r="K793" s="63"/>
      <c r="L793" s="63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63"/>
      <c r="K794" s="63"/>
      <c r="L794" s="63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63"/>
      <c r="K795" s="63"/>
      <c r="L795" s="63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63"/>
      <c r="K796" s="63"/>
      <c r="L796" s="63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63"/>
      <c r="K797" s="63"/>
      <c r="L797" s="63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63"/>
      <c r="K798" s="63"/>
      <c r="L798" s="63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63"/>
      <c r="K799" s="63"/>
      <c r="L799" s="63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63"/>
      <c r="K800" s="63"/>
      <c r="L800" s="63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63"/>
      <c r="K801" s="63"/>
      <c r="L801" s="63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63"/>
      <c r="K802" s="63"/>
      <c r="L802" s="63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63"/>
      <c r="K803" s="63"/>
      <c r="L803" s="63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63"/>
      <c r="K804" s="63"/>
      <c r="L804" s="63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63"/>
      <c r="K805" s="63"/>
      <c r="L805" s="63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63"/>
      <c r="K806" s="63"/>
      <c r="L806" s="63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63"/>
      <c r="K807" s="63"/>
      <c r="L807" s="63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63"/>
      <c r="K808" s="63"/>
      <c r="L808" s="63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63"/>
      <c r="K809" s="63"/>
      <c r="L809" s="63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63"/>
      <c r="K810" s="63"/>
      <c r="L810" s="63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63"/>
      <c r="K811" s="63"/>
      <c r="L811" s="63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63"/>
      <c r="K812" s="63"/>
      <c r="L812" s="63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63"/>
      <c r="K813" s="63"/>
      <c r="L813" s="63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63"/>
      <c r="K814" s="63"/>
      <c r="L814" s="63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63"/>
      <c r="K815" s="63"/>
      <c r="L815" s="63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63"/>
      <c r="K816" s="63"/>
      <c r="L816" s="63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63"/>
      <c r="K817" s="63"/>
      <c r="L817" s="63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63"/>
      <c r="K818" s="63"/>
      <c r="L818" s="63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63"/>
      <c r="K819" s="63"/>
      <c r="L819" s="63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63"/>
      <c r="K820" s="63"/>
      <c r="L820" s="63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63"/>
      <c r="K821" s="63"/>
      <c r="L821" s="63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63"/>
      <c r="K822" s="63"/>
      <c r="L822" s="63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63"/>
      <c r="K823" s="63"/>
      <c r="L823" s="63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63"/>
      <c r="K824" s="63"/>
      <c r="L824" s="63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63"/>
      <c r="K825" s="63"/>
      <c r="L825" s="63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63"/>
      <c r="K826" s="63"/>
      <c r="L826" s="63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63"/>
      <c r="K827" s="63"/>
      <c r="L827" s="63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63"/>
      <c r="K828" s="63"/>
      <c r="L828" s="63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63"/>
      <c r="K829" s="63"/>
      <c r="L829" s="63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63"/>
      <c r="K830" s="63"/>
      <c r="L830" s="63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63"/>
      <c r="K831" s="63"/>
      <c r="L831" s="63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63"/>
      <c r="K832" s="63"/>
      <c r="L832" s="63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63"/>
      <c r="K833" s="63"/>
      <c r="L833" s="63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63"/>
      <c r="K834" s="63"/>
      <c r="L834" s="63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63"/>
      <c r="K835" s="63"/>
      <c r="L835" s="63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63"/>
      <c r="K836" s="63"/>
      <c r="L836" s="63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63"/>
      <c r="K837" s="63"/>
      <c r="L837" s="63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63"/>
      <c r="K838" s="63"/>
      <c r="L838" s="63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63"/>
      <c r="K839" s="63"/>
      <c r="L839" s="63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63"/>
      <c r="K840" s="63"/>
      <c r="L840" s="63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63"/>
      <c r="K841" s="63"/>
      <c r="L841" s="63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63"/>
      <c r="K842" s="63"/>
      <c r="L842" s="63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63"/>
      <c r="K843" s="63"/>
      <c r="L843" s="63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63"/>
      <c r="K844" s="63"/>
      <c r="L844" s="63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63"/>
      <c r="K845" s="63"/>
      <c r="L845" s="63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63"/>
      <c r="K846" s="63"/>
      <c r="L846" s="63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63"/>
      <c r="K847" s="63"/>
      <c r="L847" s="63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63"/>
      <c r="K848" s="63"/>
      <c r="L848" s="63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63"/>
      <c r="K849" s="63"/>
      <c r="L849" s="63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63"/>
      <c r="K850" s="63"/>
      <c r="L850" s="63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63"/>
      <c r="K851" s="63"/>
      <c r="L851" s="63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63"/>
      <c r="K852" s="63"/>
      <c r="L852" s="63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63"/>
      <c r="K853" s="63"/>
      <c r="L853" s="63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63"/>
      <c r="K854" s="63"/>
      <c r="L854" s="63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63"/>
      <c r="K855" s="63"/>
      <c r="L855" s="63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63"/>
      <c r="K856" s="63"/>
      <c r="L856" s="63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63"/>
      <c r="K857" s="63"/>
      <c r="L857" s="63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63"/>
      <c r="K858" s="63"/>
      <c r="L858" s="63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63"/>
      <c r="K859" s="63"/>
      <c r="L859" s="63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63"/>
      <c r="K860" s="63"/>
      <c r="L860" s="63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63"/>
      <c r="K861" s="63"/>
      <c r="L861" s="63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63"/>
      <c r="K862" s="63"/>
      <c r="L862" s="63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63"/>
      <c r="K863" s="63"/>
      <c r="L863" s="63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63"/>
      <c r="K864" s="63"/>
      <c r="L864" s="63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63"/>
      <c r="K865" s="63"/>
      <c r="L865" s="63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63"/>
      <c r="K866" s="63"/>
      <c r="L866" s="63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63"/>
      <c r="K867" s="63"/>
      <c r="L867" s="63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63"/>
      <c r="K868" s="63"/>
      <c r="L868" s="63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63"/>
      <c r="K869" s="63"/>
      <c r="L869" s="63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63"/>
      <c r="K870" s="63"/>
      <c r="L870" s="63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63"/>
      <c r="K871" s="63"/>
      <c r="L871" s="63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63"/>
      <c r="K872" s="63"/>
      <c r="L872" s="63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63"/>
      <c r="K873" s="63"/>
      <c r="L873" s="63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63"/>
      <c r="K874" s="63"/>
      <c r="L874" s="63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63"/>
      <c r="K875" s="63"/>
      <c r="L875" s="63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63"/>
      <c r="K876" s="63"/>
      <c r="L876" s="63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63"/>
      <c r="K877" s="63"/>
      <c r="L877" s="63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63"/>
      <c r="K878" s="63"/>
      <c r="L878" s="63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63"/>
      <c r="K879" s="63"/>
      <c r="L879" s="63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63"/>
      <c r="K880" s="63"/>
      <c r="L880" s="63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63"/>
      <c r="K881" s="63"/>
      <c r="L881" s="63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63"/>
      <c r="K882" s="63"/>
      <c r="L882" s="63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63"/>
      <c r="K883" s="63"/>
      <c r="L883" s="63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63"/>
      <c r="K884" s="63"/>
      <c r="L884" s="63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63"/>
      <c r="K885" s="63"/>
      <c r="L885" s="63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63"/>
      <c r="K886" s="63"/>
      <c r="L886" s="63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63"/>
      <c r="K887" s="63"/>
      <c r="L887" s="63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63"/>
      <c r="K888" s="63"/>
      <c r="L888" s="63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63"/>
      <c r="K889" s="63"/>
      <c r="L889" s="63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63"/>
      <c r="K890" s="63"/>
      <c r="L890" s="63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63"/>
      <c r="K891" s="63"/>
      <c r="L891" s="63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63"/>
      <c r="K892" s="63"/>
      <c r="L892" s="63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63"/>
      <c r="K893" s="63"/>
      <c r="L893" s="63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63"/>
      <c r="K894" s="63"/>
      <c r="L894" s="63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63"/>
      <c r="K895" s="63"/>
      <c r="L895" s="63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63"/>
      <c r="K896" s="63"/>
      <c r="L896" s="63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63"/>
      <c r="K897" s="63"/>
      <c r="L897" s="63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63"/>
      <c r="K898" s="63"/>
      <c r="L898" s="63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63"/>
      <c r="K899" s="63"/>
      <c r="L899" s="63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63"/>
      <c r="K900" s="63"/>
      <c r="L900" s="63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63"/>
      <c r="K901" s="63"/>
      <c r="L901" s="63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63"/>
      <c r="K902" s="63"/>
      <c r="L902" s="63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63"/>
      <c r="K903" s="63"/>
      <c r="L903" s="63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63"/>
      <c r="K904" s="63"/>
      <c r="L904" s="63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63"/>
      <c r="K905" s="63"/>
      <c r="L905" s="63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63"/>
      <c r="K906" s="63"/>
      <c r="L906" s="63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63"/>
      <c r="K907" s="63"/>
      <c r="L907" s="63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63"/>
      <c r="K908" s="63"/>
      <c r="L908" s="63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63"/>
      <c r="K909" s="63"/>
      <c r="L909" s="63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63"/>
      <c r="K910" s="63"/>
      <c r="L910" s="63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63"/>
      <c r="K911" s="63"/>
      <c r="L911" s="63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63"/>
      <c r="K912" s="63"/>
      <c r="L912" s="63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63"/>
      <c r="K913" s="63"/>
      <c r="L913" s="63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63"/>
      <c r="K914" s="63"/>
      <c r="L914" s="63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63"/>
      <c r="K915" s="63"/>
      <c r="L915" s="63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63"/>
      <c r="K916" s="63"/>
      <c r="L916" s="63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63"/>
      <c r="K917" s="63"/>
      <c r="L917" s="63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63"/>
      <c r="K918" s="63"/>
      <c r="L918" s="63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63"/>
      <c r="K919" s="63"/>
      <c r="L919" s="63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63"/>
      <c r="K920" s="63"/>
      <c r="L920" s="63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63"/>
      <c r="K921" s="63"/>
      <c r="L921" s="63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63"/>
      <c r="K922" s="63"/>
      <c r="L922" s="63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63"/>
      <c r="K923" s="63"/>
      <c r="L923" s="63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63"/>
      <c r="K924" s="63"/>
      <c r="L924" s="63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63"/>
      <c r="K925" s="63"/>
      <c r="L925" s="63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63"/>
      <c r="K926" s="63"/>
      <c r="L926" s="63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63"/>
      <c r="K927" s="63"/>
      <c r="L927" s="63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63"/>
      <c r="K928" s="63"/>
      <c r="L928" s="63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63"/>
      <c r="K929" s="63"/>
      <c r="L929" s="63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63"/>
      <c r="K930" s="63"/>
      <c r="L930" s="63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63"/>
      <c r="K931" s="63"/>
      <c r="L931" s="63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63"/>
      <c r="K932" s="63"/>
      <c r="L932" s="63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63"/>
      <c r="K933" s="63"/>
      <c r="L933" s="63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63"/>
      <c r="K934" s="63"/>
      <c r="L934" s="63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63"/>
      <c r="K935" s="63"/>
      <c r="L935" s="63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63"/>
      <c r="K936" s="63"/>
      <c r="L936" s="63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63"/>
      <c r="K937" s="63"/>
      <c r="L937" s="63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63"/>
      <c r="K938" s="63"/>
      <c r="L938" s="63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63"/>
      <c r="K939" s="63"/>
      <c r="L939" s="63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63"/>
      <c r="K940" s="63"/>
      <c r="L940" s="63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63"/>
      <c r="K941" s="63"/>
      <c r="L941" s="63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63"/>
      <c r="K942" s="63"/>
      <c r="L942" s="63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63"/>
      <c r="K943" s="63"/>
      <c r="L943" s="63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63"/>
      <c r="K944" s="63"/>
      <c r="L944" s="63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63"/>
      <c r="K945" s="63"/>
      <c r="L945" s="63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63"/>
      <c r="K946" s="63"/>
      <c r="L946" s="63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63"/>
      <c r="K947" s="63"/>
      <c r="L947" s="63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63"/>
      <c r="K948" s="63"/>
      <c r="L948" s="63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63"/>
      <c r="K949" s="63"/>
      <c r="L949" s="63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63"/>
      <c r="K950" s="63"/>
      <c r="L950" s="63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63"/>
      <c r="K951" s="63"/>
      <c r="L951" s="63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63"/>
      <c r="K952" s="63"/>
      <c r="L952" s="63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63"/>
      <c r="K953" s="63"/>
      <c r="L953" s="63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63"/>
      <c r="K954" s="63"/>
      <c r="L954" s="63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63"/>
      <c r="K955" s="63"/>
      <c r="L955" s="63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63"/>
      <c r="K956" s="63"/>
      <c r="L956" s="63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63"/>
      <c r="K957" s="63"/>
      <c r="L957" s="63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63"/>
      <c r="K958" s="63"/>
      <c r="L958" s="63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63"/>
      <c r="K959" s="63"/>
      <c r="L959" s="63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63"/>
      <c r="K960" s="63"/>
      <c r="L960" s="63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63"/>
      <c r="K961" s="63"/>
      <c r="L961" s="63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63"/>
      <c r="K962" s="63"/>
      <c r="L962" s="63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63"/>
      <c r="K963" s="63"/>
      <c r="L963" s="63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63"/>
      <c r="K964" s="63"/>
      <c r="L964" s="63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63"/>
      <c r="K965" s="63"/>
      <c r="L965" s="63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63"/>
      <c r="K966" s="63"/>
      <c r="L966" s="63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63"/>
      <c r="K967" s="63"/>
      <c r="L967" s="63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63"/>
      <c r="K968" s="63"/>
      <c r="L968" s="63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63"/>
      <c r="K969" s="63"/>
      <c r="L969" s="63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63"/>
      <c r="K970" s="63"/>
      <c r="L970" s="63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63"/>
      <c r="K971" s="63"/>
      <c r="L971" s="63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63"/>
      <c r="K972" s="63"/>
      <c r="L972" s="63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63"/>
      <c r="K973" s="63"/>
      <c r="L973" s="63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63"/>
      <c r="K974" s="63"/>
      <c r="L974" s="63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63"/>
      <c r="K975" s="63"/>
      <c r="L975" s="63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63"/>
      <c r="K976" s="63"/>
      <c r="L976" s="63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63"/>
      <c r="K977" s="63"/>
      <c r="L977" s="63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63"/>
      <c r="K978" s="63"/>
      <c r="L978" s="63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63"/>
      <c r="K979" s="63"/>
      <c r="L979" s="63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63"/>
      <c r="K980" s="63"/>
      <c r="L980" s="63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63"/>
      <c r="K981" s="63"/>
      <c r="L981" s="63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63"/>
      <c r="K982" s="63"/>
      <c r="L982" s="63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63"/>
      <c r="K983" s="63"/>
      <c r="L983" s="63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63"/>
      <c r="K984" s="63"/>
      <c r="L984" s="63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63"/>
      <c r="K985" s="63"/>
      <c r="L985" s="63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63"/>
      <c r="K986" s="63"/>
      <c r="L986" s="63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63"/>
      <c r="K987" s="63"/>
      <c r="L987" s="63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63"/>
      <c r="K988" s="63"/>
      <c r="L988" s="63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63"/>
      <c r="K989" s="63"/>
      <c r="L989" s="63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63"/>
      <c r="K990" s="63"/>
      <c r="L990" s="63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63"/>
      <c r="K991" s="63"/>
      <c r="L991" s="63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63"/>
      <c r="K992" s="63"/>
      <c r="L992" s="63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63"/>
      <c r="K993" s="63"/>
      <c r="L993" s="63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63"/>
      <c r="K994" s="63"/>
      <c r="L994" s="63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63"/>
      <c r="K995" s="63"/>
      <c r="L995" s="63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63"/>
      <c r="K996" s="63"/>
      <c r="L996" s="63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63"/>
      <c r="K997" s="63"/>
      <c r="L997" s="63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63"/>
      <c r="K998" s="63"/>
      <c r="L998" s="63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63"/>
      <c r="K999" s="63"/>
      <c r="L999" s="63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63"/>
      <c r="K1000" s="63"/>
      <c r="L1000" s="63"/>
      <c r="M1000" s="3"/>
      <c r="N1000" s="3"/>
      <c r="O1000" s="3"/>
      <c r="Q1000" s="4"/>
      <c r="R1000" s="5"/>
      <c r="S1000" s="5"/>
    </row>
  </sheetData>
  <sheetProtection password="CC27" sheet="1" objects="1" scenarios="1"/>
  <mergeCells count="6">
    <mergeCell ref="D22:K22"/>
    <mergeCell ref="B2:S2"/>
    <mergeCell ref="M3:O3"/>
    <mergeCell ref="Q3:S3"/>
    <mergeCell ref="J4:L4"/>
    <mergeCell ref="D20:K20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7"/>
  <sheetViews>
    <sheetView topLeftCell="A2" workbookViewId="0">
      <selection activeCell="E25" sqref="E25"/>
    </sheetView>
  </sheetViews>
  <sheetFormatPr defaultColWidth="14.42578125" defaultRowHeight="15" customHeight="1"/>
  <cols>
    <col min="1" max="1" width="2.7109375" customWidth="1"/>
    <col min="2" max="2" width="7.42578125" customWidth="1"/>
    <col min="3" max="3" width="22.7109375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38.85546875" customWidth="1"/>
    <col min="9" max="9" width="25.5703125" customWidth="1"/>
    <col min="10" max="10" width="11" customWidth="1"/>
    <col min="11" max="12" width="9.140625" customWidth="1"/>
    <col min="13" max="13" width="14.42578125" customWidth="1"/>
    <col min="14" max="15" width="15.42578125" customWidth="1"/>
    <col min="16" max="16" width="13.5703125" customWidth="1"/>
    <col min="17" max="17" width="16.28515625" customWidth="1"/>
    <col min="18" max="18" width="14.85546875" customWidth="1"/>
    <col min="19" max="19" width="18" customWidth="1"/>
    <col min="20" max="37" width="8.7109375" customWidth="1"/>
  </cols>
  <sheetData>
    <row r="1" spans="1:37">
      <c r="C1" s="1"/>
      <c r="I1" s="2"/>
      <c r="J1" s="63"/>
      <c r="K1" s="63"/>
      <c r="L1" s="63"/>
      <c r="M1" s="3"/>
      <c r="N1" s="3"/>
      <c r="O1" s="3"/>
      <c r="Q1" s="4"/>
      <c r="R1" s="5"/>
      <c r="S1" s="5"/>
    </row>
    <row r="2" spans="1:37" ht="16.5" customHeight="1">
      <c r="B2" s="312" t="s">
        <v>98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</row>
    <row r="3" spans="1:37" ht="32.25" customHeight="1">
      <c r="A3" s="6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314" t="s">
        <v>1</v>
      </c>
      <c r="N3" s="308"/>
      <c r="O3" s="309"/>
      <c r="P3" s="65" t="s">
        <v>34</v>
      </c>
      <c r="Q3" s="315" t="s">
        <v>35</v>
      </c>
      <c r="R3" s="308"/>
      <c r="S3" s="30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6.25" thickBot="1">
      <c r="B4" s="66" t="s">
        <v>36</v>
      </c>
      <c r="C4" s="136" t="s">
        <v>37</v>
      </c>
      <c r="D4" s="137" t="s">
        <v>38</v>
      </c>
      <c r="E4" s="66" t="s">
        <v>39</v>
      </c>
      <c r="F4" s="66" t="s">
        <v>40</v>
      </c>
      <c r="G4" s="138" t="s">
        <v>41</v>
      </c>
      <c r="H4" s="66" t="s">
        <v>42</v>
      </c>
      <c r="I4" s="139" t="s">
        <v>43</v>
      </c>
      <c r="J4" s="319" t="s">
        <v>44</v>
      </c>
      <c r="K4" s="308"/>
      <c r="L4" s="309"/>
      <c r="M4" s="140" t="s">
        <v>5</v>
      </c>
      <c r="N4" s="141" t="s">
        <v>6</v>
      </c>
      <c r="O4" s="142" t="s">
        <v>7</v>
      </c>
      <c r="P4" s="142" t="s">
        <v>5</v>
      </c>
      <c r="Q4" s="143" t="s">
        <v>9</v>
      </c>
      <c r="R4" s="144" t="s">
        <v>10</v>
      </c>
      <c r="S4" s="145" t="s">
        <v>46</v>
      </c>
    </row>
    <row r="5" spans="1:37" ht="34.5">
      <c r="A5" s="21"/>
      <c r="B5" s="75">
        <v>1</v>
      </c>
      <c r="C5" s="146" t="s">
        <v>99</v>
      </c>
      <c r="D5" s="147" t="s">
        <v>100</v>
      </c>
      <c r="E5" s="89" t="s">
        <v>881</v>
      </c>
      <c r="F5" s="79" t="s">
        <v>101</v>
      </c>
      <c r="G5" s="148" t="s">
        <v>102</v>
      </c>
      <c r="H5" s="149" t="str">
        <f t="shared" ref="H5:H24" si="0">UPPER(G5)</f>
        <v>MINISTRAR TREINAMENTO - PROJETO AGHUSE - HOSPITAL MILITAR DO EXÉRCITO - MÓDULO AMBULATÓRIO ADMINISTRATIVO E ASSISTENCIAL .</v>
      </c>
      <c r="I5" s="82" t="s">
        <v>72</v>
      </c>
      <c r="J5" s="150">
        <v>43497</v>
      </c>
      <c r="K5" s="84">
        <v>11</v>
      </c>
      <c r="L5" s="84">
        <v>13</v>
      </c>
      <c r="M5" s="274">
        <v>45.82</v>
      </c>
      <c r="N5" s="274">
        <v>131.19</v>
      </c>
      <c r="O5" s="274"/>
      <c r="P5" s="289">
        <v>0</v>
      </c>
      <c r="Q5" s="276">
        <f t="shared" ref="Q5:Q7" si="1">1123.98+619.39</f>
        <v>1743.37</v>
      </c>
      <c r="R5" s="277">
        <f>651.2+111.1</f>
        <v>762.30000000000007</v>
      </c>
      <c r="S5" s="85">
        <f t="shared" ref="S5:S24" si="2">M5+N5+O5+P5+Q5+R5</f>
        <v>2682.68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33.75" customHeight="1">
      <c r="A6" s="21"/>
      <c r="B6" s="86">
        <v>2</v>
      </c>
      <c r="C6" s="97" t="s">
        <v>103</v>
      </c>
      <c r="D6" s="98" t="s">
        <v>104</v>
      </c>
      <c r="E6" s="89" t="s">
        <v>886</v>
      </c>
      <c r="F6" s="151" t="s">
        <v>105</v>
      </c>
      <c r="G6" s="152" t="s">
        <v>102</v>
      </c>
      <c r="H6" s="153" t="str">
        <f t="shared" si="0"/>
        <v>MINISTRAR TREINAMENTO - PROJETO AGHUSE - HOSPITAL MILITAR DO EXÉRCITO - MÓDULO AMBULATÓRIO ADMINISTRATIVO E ASSISTENCIAL .</v>
      </c>
      <c r="I6" s="93" t="s">
        <v>72</v>
      </c>
      <c r="J6" s="103">
        <v>43497</v>
      </c>
      <c r="K6" s="95">
        <v>11</v>
      </c>
      <c r="L6" s="95">
        <v>13</v>
      </c>
      <c r="M6" s="279">
        <v>98.18</v>
      </c>
      <c r="N6" s="279">
        <v>95.37</v>
      </c>
      <c r="O6" s="279"/>
      <c r="P6" s="280">
        <v>0</v>
      </c>
      <c r="Q6" s="281">
        <f t="shared" si="1"/>
        <v>1743.37</v>
      </c>
      <c r="R6" s="282">
        <f>651.2+124.3</f>
        <v>775.5</v>
      </c>
      <c r="S6" s="154">
        <f t="shared" si="2"/>
        <v>2712.42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ht="34.5">
      <c r="A7" s="21"/>
      <c r="B7" s="86">
        <v>3</v>
      </c>
      <c r="C7" s="87" t="s">
        <v>106</v>
      </c>
      <c r="D7" s="98" t="s">
        <v>107</v>
      </c>
      <c r="E7" s="89" t="s">
        <v>887</v>
      </c>
      <c r="F7" s="100" t="s">
        <v>108</v>
      </c>
      <c r="G7" s="152" t="s">
        <v>102</v>
      </c>
      <c r="H7" s="153" t="str">
        <f t="shared" si="0"/>
        <v>MINISTRAR TREINAMENTO - PROJETO AGHUSE - HOSPITAL MILITAR DO EXÉRCITO - MÓDULO AMBULATÓRIO ADMINISTRATIVO E ASSISTENCIAL .</v>
      </c>
      <c r="I7" s="93" t="s">
        <v>72</v>
      </c>
      <c r="J7" s="103">
        <v>43497</v>
      </c>
      <c r="K7" s="95">
        <v>11</v>
      </c>
      <c r="L7" s="95">
        <v>13</v>
      </c>
      <c r="M7" s="279">
        <v>77.91</v>
      </c>
      <c r="N7" s="279">
        <v>76.78</v>
      </c>
      <c r="O7" s="279"/>
      <c r="P7" s="290">
        <v>0</v>
      </c>
      <c r="Q7" s="281">
        <f t="shared" si="1"/>
        <v>1743.37</v>
      </c>
      <c r="R7" s="282">
        <f>651.2+108.9</f>
        <v>760.1</v>
      </c>
      <c r="S7" s="154">
        <f t="shared" si="2"/>
        <v>2658.16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27" customHeight="1">
      <c r="A8" s="21"/>
      <c r="B8" s="86">
        <v>4</v>
      </c>
      <c r="C8" s="97" t="s">
        <v>109</v>
      </c>
      <c r="D8" s="98" t="s">
        <v>110</v>
      </c>
      <c r="E8" s="155" t="s">
        <v>888</v>
      </c>
      <c r="F8" s="156" t="s">
        <v>112</v>
      </c>
      <c r="G8" s="157" t="s">
        <v>113</v>
      </c>
      <c r="H8" s="153" t="str">
        <f t="shared" si="0"/>
        <v>PARTICIPAR DA REUNIÃO DA COMISSÃO CIENTÍFICA E ORGANIZADORA DO V CONGRESSO ABRAHUE.</v>
      </c>
      <c r="I8" s="93" t="s">
        <v>72</v>
      </c>
      <c r="J8" s="103">
        <v>43497</v>
      </c>
      <c r="K8" s="95">
        <v>13</v>
      </c>
      <c r="L8" s="95">
        <v>13</v>
      </c>
      <c r="M8" s="279"/>
      <c r="N8" s="279"/>
      <c r="O8" s="279"/>
      <c r="P8" s="280">
        <v>0</v>
      </c>
      <c r="Q8" s="281">
        <v>1772.37</v>
      </c>
      <c r="R8" s="282">
        <v>0</v>
      </c>
      <c r="S8" s="154">
        <f t="shared" si="2"/>
        <v>1772.37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34.5">
      <c r="A9" s="21"/>
      <c r="B9" s="86">
        <v>5</v>
      </c>
      <c r="C9" s="97" t="s">
        <v>114</v>
      </c>
      <c r="D9" s="98" t="s">
        <v>115</v>
      </c>
      <c r="E9" s="155" t="s">
        <v>889</v>
      </c>
      <c r="F9" s="158" t="s">
        <v>116</v>
      </c>
      <c r="G9" s="101" t="s">
        <v>117</v>
      </c>
      <c r="H9" s="153" t="str">
        <f t="shared" si="0"/>
        <v>MINISTRAR TREINAMENTO - PROJETO AGHUSE - HOSPITAL MILITAR DO EXÉRCITO - MÓDULOS CIRÚRGIAS ADM E MÉDICO.</v>
      </c>
      <c r="I9" s="93" t="s">
        <v>72</v>
      </c>
      <c r="J9" s="94">
        <v>43497</v>
      </c>
      <c r="K9" s="92">
        <v>17</v>
      </c>
      <c r="L9" s="92">
        <v>20</v>
      </c>
      <c r="M9" s="279">
        <v>179.98</v>
      </c>
      <c r="N9" s="279">
        <v>49</v>
      </c>
      <c r="O9" s="279"/>
      <c r="P9" s="280"/>
      <c r="Q9" s="281">
        <v>1319.37</v>
      </c>
      <c r="R9" s="282">
        <f>1190.25+135.69</f>
        <v>1325.94</v>
      </c>
      <c r="S9" s="154">
        <f t="shared" si="2"/>
        <v>2874.29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34.5">
      <c r="A10" s="21"/>
      <c r="B10" s="86">
        <v>6</v>
      </c>
      <c r="C10" s="97" t="s">
        <v>118</v>
      </c>
      <c r="D10" s="159" t="s">
        <v>119</v>
      </c>
      <c r="E10" s="89" t="s">
        <v>890</v>
      </c>
      <c r="F10" s="151" t="s">
        <v>120</v>
      </c>
      <c r="G10" s="101" t="s">
        <v>117</v>
      </c>
      <c r="H10" s="153" t="str">
        <f t="shared" si="0"/>
        <v>MINISTRAR TREINAMENTO - PROJETO AGHUSE - HOSPITAL MILITAR DO EXÉRCITO - MÓDULOS CIRÚRGIAS ADM E MÉDICO.</v>
      </c>
      <c r="I10" s="93" t="s">
        <v>72</v>
      </c>
      <c r="J10" s="94">
        <v>43498</v>
      </c>
      <c r="K10" s="95">
        <v>20</v>
      </c>
      <c r="L10" s="95">
        <v>21</v>
      </c>
      <c r="M10" s="279">
        <f>90+64</f>
        <v>154</v>
      </c>
      <c r="N10" s="279">
        <v>78.209999999999994</v>
      </c>
      <c r="O10" s="279"/>
      <c r="P10" s="280">
        <v>0</v>
      </c>
      <c r="Q10" s="281">
        <f>1286.37</f>
        <v>1286.3699999999999</v>
      </c>
      <c r="R10" s="282">
        <f>396.75+114.95</f>
        <v>511.7</v>
      </c>
      <c r="S10" s="154">
        <f t="shared" si="2"/>
        <v>2030.28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23.25">
      <c r="A11" s="21"/>
      <c r="B11" s="86">
        <v>7</v>
      </c>
      <c r="C11" s="97" t="s">
        <v>121</v>
      </c>
      <c r="D11" s="98" t="s">
        <v>122</v>
      </c>
      <c r="E11" s="89" t="s">
        <v>891</v>
      </c>
      <c r="F11" s="160" t="s">
        <v>123</v>
      </c>
      <c r="G11" s="161" t="s">
        <v>124</v>
      </c>
      <c r="H11" s="153" t="str">
        <f t="shared" si="0"/>
        <v>EFETUAR PALESTRA "COMUNICAÇÃO NÃO VIOLENTA EM AMBIENTE HOSPITALAR".</v>
      </c>
      <c r="I11" s="95" t="s">
        <v>125</v>
      </c>
      <c r="J11" s="94">
        <v>43499</v>
      </c>
      <c r="K11" s="95">
        <v>11</v>
      </c>
      <c r="L11" s="95">
        <v>18</v>
      </c>
      <c r="M11" s="279"/>
      <c r="N11" s="279"/>
      <c r="O11" s="279"/>
      <c r="P11" s="280">
        <v>0</v>
      </c>
      <c r="Q11" s="281">
        <f>1832.95+505</f>
        <v>2337.9499999999998</v>
      </c>
      <c r="R11" s="282">
        <v>0</v>
      </c>
      <c r="S11" s="154">
        <f t="shared" si="2"/>
        <v>2337.9499999999998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23.25">
      <c r="A12" s="21"/>
      <c r="B12" s="86">
        <v>8</v>
      </c>
      <c r="C12" s="87" t="s">
        <v>126</v>
      </c>
      <c r="D12" s="88" t="s">
        <v>127</v>
      </c>
      <c r="E12" s="155" t="s">
        <v>892</v>
      </c>
      <c r="F12" s="158" t="s">
        <v>129</v>
      </c>
      <c r="G12" s="162" t="s">
        <v>130</v>
      </c>
      <c r="H12" s="153" t="str">
        <f t="shared" si="0"/>
        <v>VISITA DIAGNÓSTICO DO HOSPITAL MILITAR PARA IMPLANTAÇÃO DO SISTEMA AGHUSE.</v>
      </c>
      <c r="I12" s="95" t="s">
        <v>131</v>
      </c>
      <c r="J12" s="94">
        <v>43500</v>
      </c>
      <c r="K12" s="95">
        <v>18</v>
      </c>
      <c r="L12" s="95">
        <v>21</v>
      </c>
      <c r="M12" s="279">
        <v>87.51</v>
      </c>
      <c r="N12" s="279">
        <v>260.5</v>
      </c>
      <c r="O12" s="279"/>
      <c r="P12" s="280">
        <v>74.05</v>
      </c>
      <c r="Q12" s="281">
        <f>1362.08+964.85</f>
        <v>2326.9299999999998</v>
      </c>
      <c r="R12" s="282">
        <f>869.04+125</f>
        <v>994.04</v>
      </c>
      <c r="S12" s="154">
        <f t="shared" si="2"/>
        <v>3743.0299999999997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24.75" customHeight="1">
      <c r="A13" s="21"/>
      <c r="B13" s="86">
        <v>10</v>
      </c>
      <c r="C13" s="87" t="s">
        <v>132</v>
      </c>
      <c r="D13" s="98" t="s">
        <v>133</v>
      </c>
      <c r="E13" s="155" t="s">
        <v>893</v>
      </c>
      <c r="F13" s="156" t="s">
        <v>134</v>
      </c>
      <c r="G13" s="162" t="s">
        <v>135</v>
      </c>
      <c r="H13" s="153" t="str">
        <f t="shared" si="0"/>
        <v>VISITA DIAGNÓSTICO DO HOSPITAL MILITAR PARA IMPLANTAÇÃO DO SISTEMA AGHUSE.</v>
      </c>
      <c r="I13" s="95" t="s">
        <v>131</v>
      </c>
      <c r="J13" s="94">
        <v>43500</v>
      </c>
      <c r="K13" s="95">
        <v>18</v>
      </c>
      <c r="L13" s="95">
        <v>21</v>
      </c>
      <c r="M13" s="279">
        <v>93.74</v>
      </c>
      <c r="N13" s="279">
        <v>272.89</v>
      </c>
      <c r="O13" s="279"/>
      <c r="P13" s="280">
        <v>0</v>
      </c>
      <c r="Q13" s="281">
        <f t="shared" ref="Q13:Q15" si="3">1152.08+964.85</f>
        <v>2116.9299999999998</v>
      </c>
      <c r="R13" s="282">
        <f>869.04+115</f>
        <v>984.04</v>
      </c>
      <c r="S13" s="154">
        <f t="shared" si="2"/>
        <v>3467.6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27.75" customHeight="1">
      <c r="A14" s="21"/>
      <c r="B14" s="86">
        <v>11</v>
      </c>
      <c r="C14" s="87" t="s">
        <v>136</v>
      </c>
      <c r="D14" s="98" t="s">
        <v>137</v>
      </c>
      <c r="E14" s="155" t="s">
        <v>894</v>
      </c>
      <c r="F14" s="156" t="s">
        <v>138</v>
      </c>
      <c r="G14" s="162" t="s">
        <v>135</v>
      </c>
      <c r="H14" s="153" t="str">
        <f t="shared" si="0"/>
        <v>VISITA DIAGNÓSTICO DO HOSPITAL MILITAR PARA IMPLANTAÇÃO DO SISTEMA AGHUSE.</v>
      </c>
      <c r="I14" s="95" t="s">
        <v>131</v>
      </c>
      <c r="J14" s="94">
        <v>43500</v>
      </c>
      <c r="K14" s="95">
        <v>18</v>
      </c>
      <c r="L14" s="95">
        <v>21</v>
      </c>
      <c r="M14" s="279"/>
      <c r="N14" s="279">
        <v>189.4</v>
      </c>
      <c r="O14" s="279"/>
      <c r="P14" s="280">
        <v>0</v>
      </c>
      <c r="Q14" s="281">
        <f t="shared" si="3"/>
        <v>2116.9299999999998</v>
      </c>
      <c r="R14" s="282">
        <f>869.04+99</f>
        <v>968.04</v>
      </c>
      <c r="S14" s="154">
        <f t="shared" si="2"/>
        <v>3274.37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ht="26.25" customHeight="1">
      <c r="A15" s="21"/>
      <c r="B15" s="86">
        <v>12</v>
      </c>
      <c r="C15" s="87" t="s">
        <v>139</v>
      </c>
      <c r="D15" s="98" t="s">
        <v>140</v>
      </c>
      <c r="E15" s="155" t="s">
        <v>895</v>
      </c>
      <c r="F15" s="100" t="s">
        <v>141</v>
      </c>
      <c r="G15" s="91" t="s">
        <v>142</v>
      </c>
      <c r="H15" s="153" t="str">
        <f t="shared" si="0"/>
        <v>VISITA DISGNÓSTICO DO HOSPITAL MILITAR PARA IMPLANTAÇÃO DOS SISTEMA AGHUSE.</v>
      </c>
      <c r="I15" s="95" t="s">
        <v>131</v>
      </c>
      <c r="J15" s="94">
        <v>43500</v>
      </c>
      <c r="K15" s="95">
        <v>18</v>
      </c>
      <c r="L15" s="95">
        <v>21</v>
      </c>
      <c r="M15" s="279">
        <v>59.12</v>
      </c>
      <c r="N15" s="279">
        <v>264.39999999999998</v>
      </c>
      <c r="O15" s="279"/>
      <c r="P15" s="280">
        <v>0</v>
      </c>
      <c r="Q15" s="281">
        <f t="shared" si="3"/>
        <v>2116.9299999999998</v>
      </c>
      <c r="R15" s="282">
        <f>869.4+81</f>
        <v>950.4</v>
      </c>
      <c r="S15" s="154">
        <f t="shared" si="2"/>
        <v>3390.85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36.75" customHeight="1">
      <c r="A16" s="21"/>
      <c r="B16" s="86">
        <v>13</v>
      </c>
      <c r="C16" s="87" t="s">
        <v>143</v>
      </c>
      <c r="D16" s="98" t="s">
        <v>84</v>
      </c>
      <c r="E16" s="89" t="s">
        <v>883</v>
      </c>
      <c r="F16" s="156" t="s">
        <v>144</v>
      </c>
      <c r="G16" s="163" t="s">
        <v>145</v>
      </c>
      <c r="H16" s="153" t="str">
        <f t="shared" si="0"/>
        <v>PARA PARTICIPAR DE UMA VISITA  NO GABINETE DO VICE-PRESIDENTE DO BRASIL, GEN. HAMILTON MOURÃO.</v>
      </c>
      <c r="I16" s="95" t="s">
        <v>72</v>
      </c>
      <c r="J16" s="103">
        <v>43497</v>
      </c>
      <c r="K16" s="95">
        <v>20</v>
      </c>
      <c r="L16" s="95">
        <v>20</v>
      </c>
      <c r="M16" s="279"/>
      <c r="N16" s="279">
        <v>71.28</v>
      </c>
      <c r="O16" s="279"/>
      <c r="P16" s="280">
        <v>0</v>
      </c>
      <c r="Q16" s="281">
        <v>1112.3699999999999</v>
      </c>
      <c r="R16" s="282">
        <v>500</v>
      </c>
      <c r="S16" s="154">
        <f t="shared" si="2"/>
        <v>1683.6499999999999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23.25">
      <c r="A17" s="21"/>
      <c r="B17" s="86">
        <v>14</v>
      </c>
      <c r="C17" s="87" t="s">
        <v>146</v>
      </c>
      <c r="D17" s="98" t="s">
        <v>147</v>
      </c>
      <c r="E17" s="89" t="s">
        <v>896</v>
      </c>
      <c r="F17" s="156" t="s">
        <v>50</v>
      </c>
      <c r="G17" s="91" t="s">
        <v>51</v>
      </c>
      <c r="H17" s="153" t="str">
        <f t="shared" si="0"/>
        <v>REUNIÃO DO CONSELHO DE ADMINISTRAÇÃO DO HCPA.</v>
      </c>
      <c r="I17" s="95" t="s">
        <v>149</v>
      </c>
      <c r="J17" s="103">
        <v>43497</v>
      </c>
      <c r="K17" s="95">
        <v>18</v>
      </c>
      <c r="L17" s="95">
        <v>18</v>
      </c>
      <c r="M17" s="279"/>
      <c r="N17" s="279"/>
      <c r="O17" s="279"/>
      <c r="P17" s="280">
        <v>0</v>
      </c>
      <c r="Q17" s="281">
        <f>607.05+714.98</f>
        <v>1322.03</v>
      </c>
      <c r="R17" s="282">
        <v>0</v>
      </c>
      <c r="S17" s="154">
        <f t="shared" si="2"/>
        <v>1322.03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35.25" customHeight="1">
      <c r="A18" s="21"/>
      <c r="B18" s="86">
        <v>15</v>
      </c>
      <c r="C18" s="87" t="s">
        <v>150</v>
      </c>
      <c r="D18" s="98" t="s">
        <v>151</v>
      </c>
      <c r="E18" s="89" t="s">
        <v>897</v>
      </c>
      <c r="F18" s="151" t="s">
        <v>153</v>
      </c>
      <c r="G18" s="163" t="s">
        <v>145</v>
      </c>
      <c r="H18" s="153" t="str">
        <f t="shared" si="0"/>
        <v>PARA PARTICIPAR DE UMA VISITA  NO GABINETE DO VICE-PRESIDENTE DO BRASIL, GEN. HAMILTON MOURÃO.</v>
      </c>
      <c r="I18" s="95" t="s">
        <v>72</v>
      </c>
      <c r="J18" s="103">
        <v>43497</v>
      </c>
      <c r="K18" s="95">
        <v>20</v>
      </c>
      <c r="L18" s="95">
        <v>20</v>
      </c>
      <c r="M18" s="279"/>
      <c r="N18" s="279">
        <v>86.79</v>
      </c>
      <c r="O18" s="279"/>
      <c r="P18" s="280">
        <v>45.74</v>
      </c>
      <c r="Q18" s="281">
        <v>1772.37</v>
      </c>
      <c r="R18" s="282">
        <v>0</v>
      </c>
      <c r="S18" s="154">
        <f t="shared" si="2"/>
        <v>1904.8999999999999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23.25" customHeight="1">
      <c r="A19" s="21"/>
      <c r="B19" s="86">
        <v>16</v>
      </c>
      <c r="C19" s="87" t="s">
        <v>154</v>
      </c>
      <c r="D19" s="98" t="s">
        <v>54</v>
      </c>
      <c r="E19" s="89" t="s">
        <v>874</v>
      </c>
      <c r="F19" s="156" t="s">
        <v>50</v>
      </c>
      <c r="G19" s="91" t="s">
        <v>51</v>
      </c>
      <c r="H19" s="153" t="str">
        <f t="shared" si="0"/>
        <v>REUNIÃO DO CONSELHO DE ADMINISTRAÇÃO DO HCPA.</v>
      </c>
      <c r="I19" s="93" t="s">
        <v>52</v>
      </c>
      <c r="J19" s="103">
        <v>43497</v>
      </c>
      <c r="K19" s="95">
        <v>17</v>
      </c>
      <c r="L19" s="95">
        <v>18</v>
      </c>
      <c r="M19" s="279"/>
      <c r="N19" s="279"/>
      <c r="O19" s="279"/>
      <c r="P19" s="290">
        <v>0</v>
      </c>
      <c r="Q19" s="281">
        <f>1132.39+1123.98</f>
        <v>2256.37</v>
      </c>
      <c r="R19" s="282">
        <v>0</v>
      </c>
      <c r="S19" s="154">
        <f t="shared" si="2"/>
        <v>2256.37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33.75" customHeight="1">
      <c r="A20" s="21"/>
      <c r="B20" s="86">
        <v>17</v>
      </c>
      <c r="C20" s="87" t="s">
        <v>155</v>
      </c>
      <c r="D20" s="88" t="s">
        <v>156</v>
      </c>
      <c r="E20" s="89" t="s">
        <v>898</v>
      </c>
      <c r="F20" s="100" t="s">
        <v>157</v>
      </c>
      <c r="G20" s="101" t="s">
        <v>158</v>
      </c>
      <c r="H20" s="153" t="str">
        <f t="shared" si="0"/>
        <v>MINISTRAR TREINAMENTO - PROJETO AGHUSE - HOSPITAL MILITAR DO EXÉRCITO - MÓDULOS SESSÕES TERAPÊUTICAS - QUIMIOTERAPIA.</v>
      </c>
      <c r="I20" s="95" t="s">
        <v>72</v>
      </c>
      <c r="J20" s="103">
        <v>43497</v>
      </c>
      <c r="K20" s="95">
        <v>27</v>
      </c>
      <c r="L20" s="95">
        <v>28</v>
      </c>
      <c r="M20" s="279">
        <v>77.48</v>
      </c>
      <c r="N20" s="279">
        <v>85.69</v>
      </c>
      <c r="O20" s="279"/>
      <c r="P20" s="290">
        <v>0</v>
      </c>
      <c r="Q20" s="281">
        <v>1439.37</v>
      </c>
      <c r="R20" s="282">
        <f>299.2+160.6</f>
        <v>459.79999999999995</v>
      </c>
      <c r="S20" s="154">
        <f t="shared" si="2"/>
        <v>2062.34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ht="15.75" customHeight="1">
      <c r="A21" s="21"/>
      <c r="B21" s="86">
        <v>18</v>
      </c>
      <c r="C21" s="87" t="s">
        <v>159</v>
      </c>
      <c r="D21" s="98" t="s">
        <v>160</v>
      </c>
      <c r="E21" s="89" t="s">
        <v>899</v>
      </c>
      <c r="F21" s="156" t="s">
        <v>161</v>
      </c>
      <c r="G21" s="101" t="s">
        <v>162</v>
      </c>
      <c r="H21" s="153" t="str">
        <f t="shared" si="0"/>
        <v>MINISTRAR TREINAMENTO - PROJETO AGHUSE - HOSPITAL MILITAR DO EXÉRCITO - MÓDULO ENGENHARIA.</v>
      </c>
      <c r="I21" s="95" t="s">
        <v>72</v>
      </c>
      <c r="J21" s="103">
        <v>43497</v>
      </c>
      <c r="K21" s="95">
        <v>25</v>
      </c>
      <c r="L21" s="95">
        <v>27</v>
      </c>
      <c r="M21" s="279">
        <v>51.9</v>
      </c>
      <c r="N21" s="279">
        <v>128.30000000000001</v>
      </c>
      <c r="O21" s="279"/>
      <c r="P21" s="290">
        <v>0</v>
      </c>
      <c r="Q21" s="281">
        <v>2312.37</v>
      </c>
      <c r="R21" s="282">
        <f>629.2+79.2</f>
        <v>708.40000000000009</v>
      </c>
      <c r="S21" s="154">
        <f t="shared" si="2"/>
        <v>3200.97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ht="15.75" customHeight="1">
      <c r="A22" s="21"/>
      <c r="B22" s="86">
        <v>19</v>
      </c>
      <c r="C22" s="87" t="s">
        <v>163</v>
      </c>
      <c r="D22" s="98" t="s">
        <v>74</v>
      </c>
      <c r="E22" s="89" t="s">
        <v>900</v>
      </c>
      <c r="F22" s="158" t="s">
        <v>164</v>
      </c>
      <c r="G22" s="101" t="s">
        <v>165</v>
      </c>
      <c r="H22" s="153" t="str">
        <f t="shared" si="0"/>
        <v>MINISTRAR TREINAMENTO - PROJETO AGHUSE - HOSPITAL MILITAR DO EXÉRCITO - MÓDULO MANUTENÇÃO (ENGENHARIA).</v>
      </c>
      <c r="I22" s="95" t="s">
        <v>72</v>
      </c>
      <c r="J22" s="103">
        <v>43497</v>
      </c>
      <c r="K22" s="95">
        <v>25</v>
      </c>
      <c r="L22" s="95">
        <v>27</v>
      </c>
      <c r="M22" s="279"/>
      <c r="N22" s="279">
        <v>90</v>
      </c>
      <c r="O22" s="279"/>
      <c r="P22" s="280">
        <f>44+45+24+28+31+29+26+27+46+88</f>
        <v>388</v>
      </c>
      <c r="Q22" s="281">
        <v>2312.37</v>
      </c>
      <c r="R22" s="282">
        <f>629.2+73.7</f>
        <v>702.90000000000009</v>
      </c>
      <c r="S22" s="154">
        <f t="shared" si="2"/>
        <v>3493.27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ht="15.75" customHeight="1">
      <c r="A23" s="21"/>
      <c r="B23" s="86">
        <v>20</v>
      </c>
      <c r="C23" s="87" t="s">
        <v>166</v>
      </c>
      <c r="D23" s="98" t="s">
        <v>167</v>
      </c>
      <c r="E23" s="89" t="s">
        <v>885</v>
      </c>
      <c r="F23" s="156" t="s">
        <v>168</v>
      </c>
      <c r="G23" s="164" t="s">
        <v>169</v>
      </c>
      <c r="H23" s="153" t="str">
        <f t="shared" si="0"/>
        <v>TREINAMENTO  PROJETO AGHUSE - SESAB -  MÓDULOS DA ENFERMAGEM NO PROCESSO DE  INTERNAÇÃO ENFERMAGEM E EMERGÊNCIA ENFERMAGEM.</v>
      </c>
      <c r="I23" s="93" t="s">
        <v>93</v>
      </c>
      <c r="J23" s="103">
        <v>43497</v>
      </c>
      <c r="K23" s="95">
        <v>24</v>
      </c>
      <c r="L23" s="95">
        <v>27</v>
      </c>
      <c r="M23" s="279">
        <v>55.13</v>
      </c>
      <c r="N23" s="279">
        <v>299.60000000000002</v>
      </c>
      <c r="O23" s="279"/>
      <c r="P23" s="290">
        <v>0</v>
      </c>
      <c r="Q23" s="281">
        <f>680.98+680.98</f>
        <v>1361.96</v>
      </c>
      <c r="R23" s="282">
        <f>511.35+119</f>
        <v>630.35</v>
      </c>
      <c r="S23" s="154">
        <f t="shared" si="2"/>
        <v>2347.04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ht="15.75" customHeight="1">
      <c r="A24" s="21"/>
      <c r="B24" s="106">
        <v>21</v>
      </c>
      <c r="C24" s="107" t="s">
        <v>170</v>
      </c>
      <c r="D24" s="108" t="s">
        <v>171</v>
      </c>
      <c r="E24" s="165" t="s">
        <v>901</v>
      </c>
      <c r="F24" s="166" t="s">
        <v>172</v>
      </c>
      <c r="G24" s="167" t="s">
        <v>173</v>
      </c>
      <c r="H24" s="168" t="str">
        <f t="shared" si="0"/>
        <v>REALIZAR AUDIÊNCIA NA JUSTIÇA DO TRABALHO</v>
      </c>
      <c r="I24" s="113" t="s">
        <v>174</v>
      </c>
      <c r="J24" s="114">
        <v>43497</v>
      </c>
      <c r="K24" s="115">
        <v>19</v>
      </c>
      <c r="L24" s="115">
        <v>20</v>
      </c>
      <c r="M24" s="284">
        <v>272.81</v>
      </c>
      <c r="N24" s="284"/>
      <c r="O24" s="284"/>
      <c r="P24" s="291">
        <v>0</v>
      </c>
      <c r="Q24" s="286">
        <v>0</v>
      </c>
      <c r="R24" s="287">
        <f>202+60.16</f>
        <v>262.15999999999997</v>
      </c>
      <c r="S24" s="169">
        <f t="shared" si="2"/>
        <v>534.97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ht="15.75" customHeight="1">
      <c r="A25" s="21"/>
      <c r="B25" s="34"/>
      <c r="C25" s="35"/>
      <c r="D25" s="36"/>
      <c r="E25" s="36"/>
      <c r="F25" s="36"/>
      <c r="G25" s="36"/>
      <c r="H25" s="36"/>
      <c r="I25" s="36"/>
      <c r="J25" s="120"/>
      <c r="K25" s="121"/>
      <c r="L25" s="121"/>
      <c r="M25" s="37"/>
      <c r="N25" s="37"/>
      <c r="O25" s="37"/>
      <c r="P25" s="22"/>
      <c r="Q25" s="38"/>
      <c r="R25" s="39"/>
      <c r="S25" s="39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ht="15.75" customHeight="1">
      <c r="A26" s="41"/>
      <c r="B26" s="122" t="s">
        <v>94</v>
      </c>
      <c r="C26" s="41"/>
      <c r="D26" s="123" t="s">
        <v>95</v>
      </c>
      <c r="E26" s="124"/>
      <c r="F26" s="41"/>
      <c r="G26" s="41"/>
      <c r="H26" s="41"/>
      <c r="I26" s="125"/>
      <c r="J26" s="41"/>
      <c r="K26" s="34"/>
      <c r="L26" s="41"/>
      <c r="M26" s="126">
        <f t="shared" ref="M26:R26" si="4">SUM(M5:M24)</f>
        <v>1253.58</v>
      </c>
      <c r="N26" s="126">
        <f t="shared" si="4"/>
        <v>2179.3999999999996</v>
      </c>
      <c r="O26" s="126">
        <f t="shared" si="4"/>
        <v>0</v>
      </c>
      <c r="P26" s="170">
        <f t="shared" si="4"/>
        <v>507.78999999999996</v>
      </c>
      <c r="Q26" s="128">
        <f t="shared" si="4"/>
        <v>34513.099999999991</v>
      </c>
      <c r="R26" s="129">
        <f t="shared" si="4"/>
        <v>11295.669999999998</v>
      </c>
      <c r="S26" s="46">
        <f>SUM(S5:S24)+P27</f>
        <v>49754.617900000005</v>
      </c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</row>
    <row r="27" spans="1:37" ht="15.75" customHeight="1">
      <c r="A27" s="47"/>
      <c r="B27" s="47"/>
      <c r="C27" s="47"/>
      <c r="D27" s="310"/>
      <c r="E27" s="306"/>
      <c r="F27" s="306"/>
      <c r="G27" s="306"/>
      <c r="H27" s="306"/>
      <c r="I27" s="306"/>
      <c r="J27" s="306"/>
      <c r="K27" s="306"/>
      <c r="L27" s="47"/>
      <c r="M27" s="48"/>
      <c r="N27" s="130"/>
      <c r="O27" s="130" t="s">
        <v>94</v>
      </c>
      <c r="P27" s="22">
        <f>P26*1%</f>
        <v>5.0778999999999996</v>
      </c>
      <c r="Q27" s="47"/>
      <c r="R27" s="47"/>
      <c r="S27" s="52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</row>
    <row r="28" spans="1:37" ht="15.75" customHeight="1" thickBot="1">
      <c r="A28" s="47"/>
      <c r="B28" s="47"/>
      <c r="C28" s="47"/>
      <c r="D28" s="47"/>
      <c r="E28" s="47"/>
      <c r="F28" s="47"/>
      <c r="G28" s="47"/>
      <c r="H28" s="47"/>
      <c r="I28" s="50"/>
      <c r="J28" s="47"/>
      <c r="K28" s="47"/>
      <c r="L28" s="47"/>
      <c r="M28" s="48"/>
      <c r="N28" s="48"/>
      <c r="O28" s="48"/>
      <c r="P28" s="131">
        <f>P26+P27</f>
        <v>512.86789999999996</v>
      </c>
      <c r="Q28" s="51"/>
      <c r="R28" s="52"/>
      <c r="S28" s="132" t="s">
        <v>96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</row>
    <row r="29" spans="1:37" ht="15.75" customHeight="1">
      <c r="C29" s="1"/>
      <c r="D29" s="1"/>
      <c r="E29" s="1"/>
      <c r="F29" s="1"/>
      <c r="G29" s="1"/>
      <c r="H29" s="1"/>
      <c r="I29" s="2"/>
      <c r="J29" s="63"/>
      <c r="K29" s="63"/>
      <c r="L29" s="63"/>
      <c r="M29" s="3"/>
      <c r="N29" s="3"/>
      <c r="O29" s="3"/>
      <c r="P29" s="47"/>
      <c r="Q29" s="4"/>
      <c r="R29" s="5"/>
      <c r="S29" s="5"/>
    </row>
    <row r="30" spans="1:37" ht="15.75" customHeight="1">
      <c r="C30" s="1"/>
      <c r="D30" s="1"/>
      <c r="E30" s="1"/>
      <c r="F30" s="1"/>
      <c r="G30" s="1"/>
      <c r="H30" s="1"/>
      <c r="I30" s="2"/>
      <c r="J30" s="63"/>
      <c r="K30" s="63"/>
      <c r="L30" s="63"/>
      <c r="M30" s="3"/>
      <c r="N30" s="3"/>
      <c r="O30" s="3"/>
      <c r="P30" s="47"/>
      <c r="Q30" s="4"/>
      <c r="R30" s="5"/>
      <c r="S30" s="5"/>
    </row>
    <row r="31" spans="1:37" ht="15.75" customHeight="1">
      <c r="C31" s="1"/>
      <c r="D31" s="1"/>
      <c r="E31" s="1"/>
      <c r="F31" s="1"/>
      <c r="G31" s="1"/>
      <c r="H31" s="1"/>
      <c r="I31" s="2"/>
      <c r="J31" s="63"/>
      <c r="K31" s="63"/>
      <c r="L31" s="63"/>
      <c r="M31" s="3"/>
      <c r="N31" s="3"/>
      <c r="O31" s="3"/>
      <c r="Q31" s="4"/>
      <c r="R31" s="5"/>
      <c r="S31" s="5"/>
    </row>
    <row r="32" spans="1:37" ht="15.75" customHeight="1">
      <c r="C32" s="1"/>
      <c r="D32" s="1"/>
      <c r="E32" s="1"/>
      <c r="F32" s="1"/>
      <c r="G32" s="1"/>
      <c r="H32" s="1"/>
      <c r="I32" s="2"/>
      <c r="J32" s="63"/>
      <c r="K32" s="63"/>
      <c r="L32" s="63"/>
    </row>
    <row r="33" spans="3:12" ht="15.75" customHeight="1">
      <c r="C33" s="1"/>
      <c r="D33" s="1"/>
      <c r="E33" s="1"/>
      <c r="F33" s="1"/>
      <c r="G33" s="1"/>
      <c r="H33" s="1"/>
      <c r="I33" s="2"/>
      <c r="J33" s="63"/>
      <c r="K33" s="63"/>
      <c r="L33" s="63"/>
    </row>
    <row r="34" spans="3:12" ht="15.75" customHeight="1">
      <c r="C34" s="1"/>
      <c r="D34" s="1"/>
      <c r="E34" s="1"/>
      <c r="F34" s="1"/>
      <c r="G34" s="1"/>
      <c r="H34" s="1"/>
      <c r="I34" s="2"/>
      <c r="J34" s="63"/>
      <c r="K34" s="63"/>
      <c r="L34" s="63"/>
    </row>
    <row r="35" spans="3:12" ht="15.75" customHeight="1">
      <c r="C35" s="1"/>
      <c r="D35" s="1"/>
      <c r="E35" s="1"/>
      <c r="F35" s="1"/>
      <c r="G35" s="1"/>
      <c r="H35" s="1"/>
      <c r="I35" s="2"/>
      <c r="J35" s="63"/>
      <c r="K35" s="63"/>
      <c r="L35" s="63"/>
    </row>
    <row r="36" spans="3:12" ht="15.75" customHeight="1">
      <c r="C36" s="1"/>
      <c r="D36" s="1"/>
      <c r="E36" s="1"/>
      <c r="F36" s="1"/>
      <c r="G36" s="1"/>
      <c r="H36" s="1"/>
      <c r="I36" s="2"/>
      <c r="J36" s="63"/>
      <c r="K36" s="63"/>
      <c r="L36" s="63"/>
    </row>
    <row r="37" spans="3:12" ht="15.75" customHeight="1">
      <c r="C37" s="1"/>
      <c r="D37" s="1"/>
      <c r="E37" s="1"/>
      <c r="F37" s="1"/>
      <c r="G37" s="1"/>
      <c r="H37" s="1"/>
      <c r="I37" s="2"/>
      <c r="J37" s="63"/>
      <c r="K37" s="63"/>
      <c r="L37" s="63"/>
    </row>
    <row r="38" spans="3:12" ht="15.75" customHeight="1">
      <c r="C38" s="1"/>
      <c r="D38" s="1"/>
      <c r="E38" s="1"/>
      <c r="F38" s="1"/>
      <c r="G38" s="1"/>
      <c r="H38" s="1"/>
      <c r="I38" s="2"/>
      <c r="J38" s="63"/>
      <c r="K38" s="63"/>
      <c r="L38" s="63"/>
    </row>
    <row r="39" spans="3:12" ht="15.75" customHeight="1">
      <c r="C39" s="1"/>
      <c r="D39" s="1"/>
      <c r="E39" s="1"/>
      <c r="F39" s="1"/>
      <c r="G39" s="1"/>
      <c r="H39" s="1"/>
      <c r="I39" s="2"/>
      <c r="J39" s="63"/>
      <c r="K39" s="63"/>
      <c r="L39" s="63"/>
    </row>
    <row r="40" spans="3:12" ht="15.75" customHeight="1">
      <c r="C40" s="1"/>
      <c r="D40" s="1"/>
      <c r="E40" s="1"/>
      <c r="F40" s="1"/>
      <c r="G40" s="1"/>
      <c r="H40" s="1"/>
      <c r="I40" s="2"/>
      <c r="J40" s="63"/>
      <c r="K40" s="63"/>
      <c r="L40" s="63"/>
    </row>
    <row r="41" spans="3:12" ht="15.75" customHeight="1">
      <c r="C41" s="1"/>
      <c r="D41" s="1"/>
      <c r="E41" s="1"/>
      <c r="F41" s="1"/>
      <c r="G41" s="1"/>
      <c r="H41" s="1"/>
      <c r="I41" s="2"/>
      <c r="J41" s="63"/>
      <c r="K41" s="63"/>
      <c r="L41" s="63"/>
    </row>
    <row r="42" spans="3:12" ht="15.75" customHeight="1">
      <c r="C42" s="1"/>
      <c r="D42" s="1"/>
      <c r="E42" s="1"/>
      <c r="F42" s="1"/>
      <c r="G42" s="1"/>
      <c r="H42" s="1"/>
      <c r="I42" s="2"/>
      <c r="J42" s="63"/>
      <c r="K42" s="63"/>
      <c r="L42" s="63"/>
    </row>
    <row r="43" spans="3:12" ht="15.75" customHeight="1">
      <c r="C43" s="1"/>
      <c r="D43" s="1"/>
      <c r="E43" s="1"/>
      <c r="F43" s="1"/>
      <c r="G43" s="1"/>
      <c r="H43" s="1"/>
      <c r="I43" s="2"/>
      <c r="J43" s="63"/>
      <c r="K43" s="63"/>
      <c r="L43" s="63"/>
    </row>
    <row r="44" spans="3:12" ht="15.75" customHeight="1">
      <c r="C44" s="1"/>
      <c r="D44" s="1"/>
      <c r="E44" s="1"/>
      <c r="F44" s="1"/>
      <c r="G44" s="1"/>
      <c r="H44" s="1"/>
      <c r="I44" s="2"/>
      <c r="J44" s="63"/>
      <c r="K44" s="63"/>
      <c r="L44" s="63"/>
    </row>
    <row r="45" spans="3:12" ht="15.75" customHeight="1">
      <c r="C45" s="1"/>
      <c r="D45" s="1"/>
      <c r="E45" s="1"/>
      <c r="F45" s="1"/>
      <c r="G45" s="1"/>
      <c r="H45" s="1"/>
      <c r="I45" s="2"/>
      <c r="J45" s="63"/>
      <c r="K45" s="63"/>
      <c r="L45" s="63"/>
    </row>
    <row r="46" spans="3:12" ht="15.75" customHeight="1">
      <c r="C46" s="1"/>
      <c r="D46" s="1"/>
      <c r="E46" s="1"/>
      <c r="F46" s="1"/>
      <c r="G46" s="1"/>
      <c r="H46" s="1"/>
      <c r="I46" s="2"/>
      <c r="J46" s="63"/>
      <c r="K46" s="63"/>
      <c r="L46" s="63"/>
    </row>
    <row r="47" spans="3:12" ht="15.75" customHeight="1">
      <c r="C47" s="1"/>
      <c r="D47" s="1"/>
      <c r="E47" s="1"/>
      <c r="F47" s="1"/>
      <c r="G47" s="1"/>
      <c r="H47" s="1"/>
      <c r="I47" s="2"/>
      <c r="J47" s="63"/>
      <c r="K47" s="63"/>
      <c r="L47" s="63"/>
    </row>
    <row r="48" spans="3:12" ht="15.75" customHeight="1">
      <c r="C48" s="1"/>
      <c r="D48" s="1"/>
      <c r="E48" s="1"/>
      <c r="F48" s="1"/>
      <c r="G48" s="1"/>
      <c r="H48" s="1"/>
      <c r="I48" s="2"/>
      <c r="J48" s="63"/>
      <c r="K48" s="63"/>
      <c r="L48" s="63"/>
    </row>
    <row r="49" spans="3:12" ht="15.75" customHeight="1">
      <c r="C49" s="1"/>
      <c r="D49" s="1"/>
      <c r="E49" s="1"/>
      <c r="F49" s="1"/>
      <c r="G49" s="1"/>
      <c r="H49" s="1"/>
      <c r="I49" s="2"/>
      <c r="J49" s="63"/>
      <c r="K49" s="63"/>
      <c r="L49" s="63"/>
    </row>
    <row r="50" spans="3:12" ht="15.75" customHeight="1">
      <c r="C50" s="1"/>
      <c r="D50" s="1"/>
      <c r="E50" s="1"/>
      <c r="F50" s="1"/>
      <c r="G50" s="1"/>
      <c r="H50" s="1"/>
      <c r="I50" s="2"/>
      <c r="J50" s="63"/>
      <c r="K50" s="63"/>
      <c r="L50" s="63"/>
    </row>
    <row r="51" spans="3:12" ht="15.75" customHeight="1">
      <c r="C51" s="1"/>
      <c r="D51" s="1"/>
      <c r="E51" s="1"/>
      <c r="F51" s="1"/>
      <c r="G51" s="1"/>
      <c r="H51" s="1"/>
      <c r="I51" s="2"/>
      <c r="J51" s="63"/>
      <c r="K51" s="63"/>
      <c r="L51" s="63"/>
    </row>
    <row r="52" spans="3:12" ht="15.75" customHeight="1">
      <c r="C52" s="1"/>
      <c r="D52" s="1"/>
      <c r="E52" s="1"/>
      <c r="F52" s="1"/>
      <c r="G52" s="1"/>
      <c r="H52" s="1"/>
      <c r="I52" s="2"/>
      <c r="J52" s="63"/>
      <c r="K52" s="63"/>
      <c r="L52" s="63"/>
    </row>
    <row r="53" spans="3:12" ht="15.75" customHeight="1">
      <c r="C53" s="1"/>
      <c r="D53" s="1"/>
      <c r="E53" s="1"/>
      <c r="F53" s="1"/>
      <c r="G53" s="1"/>
      <c r="H53" s="1"/>
      <c r="I53" s="2"/>
      <c r="J53" s="63"/>
      <c r="K53" s="63"/>
      <c r="L53" s="63"/>
    </row>
    <row r="54" spans="3:12" ht="15.75" customHeight="1">
      <c r="C54" s="1"/>
      <c r="D54" s="1"/>
      <c r="E54" s="1"/>
      <c r="F54" s="1"/>
      <c r="G54" s="1"/>
      <c r="H54" s="1"/>
      <c r="I54" s="2"/>
      <c r="J54" s="63"/>
      <c r="K54" s="63"/>
      <c r="L54" s="63"/>
    </row>
    <row r="55" spans="3:12" ht="15.75" customHeight="1">
      <c r="C55" s="1"/>
      <c r="D55" s="1"/>
      <c r="E55" s="1"/>
      <c r="F55" s="1"/>
      <c r="G55" s="1"/>
      <c r="H55" s="1"/>
      <c r="I55" s="2"/>
      <c r="J55" s="63"/>
      <c r="K55" s="63"/>
      <c r="L55" s="63"/>
    </row>
    <row r="56" spans="3:12" ht="15.75" customHeight="1">
      <c r="C56" s="1"/>
      <c r="D56" s="1"/>
      <c r="E56" s="1"/>
      <c r="F56" s="1"/>
      <c r="G56" s="1"/>
      <c r="H56" s="1"/>
      <c r="I56" s="2"/>
      <c r="J56" s="63"/>
      <c r="K56" s="63"/>
      <c r="L56" s="63"/>
    </row>
    <row r="57" spans="3:12" ht="15.75" customHeight="1">
      <c r="C57" s="1"/>
      <c r="D57" s="1"/>
      <c r="E57" s="1"/>
      <c r="F57" s="1"/>
      <c r="G57" s="1"/>
      <c r="H57" s="1"/>
      <c r="I57" s="2"/>
      <c r="J57" s="63"/>
      <c r="K57" s="63"/>
      <c r="L57" s="63"/>
    </row>
    <row r="58" spans="3:12" ht="15.75" customHeight="1">
      <c r="C58" s="1"/>
      <c r="D58" s="1"/>
      <c r="E58" s="1"/>
      <c r="F58" s="1"/>
      <c r="G58" s="1"/>
      <c r="H58" s="1"/>
      <c r="I58" s="2"/>
      <c r="J58" s="63"/>
      <c r="K58" s="63"/>
      <c r="L58" s="63"/>
    </row>
    <row r="59" spans="3:12" ht="15.75" customHeight="1">
      <c r="C59" s="1"/>
      <c r="D59" s="1"/>
      <c r="E59" s="1"/>
      <c r="F59" s="1"/>
      <c r="G59" s="1"/>
      <c r="H59" s="1"/>
      <c r="I59" s="2"/>
      <c r="J59" s="63"/>
      <c r="K59" s="63"/>
      <c r="L59" s="63"/>
    </row>
    <row r="60" spans="3:12" ht="15.75" customHeight="1">
      <c r="C60" s="1"/>
      <c r="D60" s="1"/>
      <c r="E60" s="1"/>
      <c r="F60" s="1"/>
      <c r="G60" s="1"/>
      <c r="H60" s="1"/>
      <c r="I60" s="2"/>
      <c r="J60" s="63"/>
      <c r="K60" s="63"/>
      <c r="L60" s="63"/>
    </row>
    <row r="61" spans="3:12" ht="15.75" customHeight="1">
      <c r="C61" s="1"/>
      <c r="D61" s="1"/>
      <c r="E61" s="1"/>
      <c r="F61" s="1"/>
      <c r="G61" s="1"/>
      <c r="H61" s="1"/>
      <c r="I61" s="2"/>
      <c r="J61" s="63"/>
      <c r="K61" s="63"/>
      <c r="L61" s="63"/>
    </row>
    <row r="62" spans="3:12" ht="15.75" customHeight="1">
      <c r="C62" s="1"/>
      <c r="D62" s="1"/>
      <c r="E62" s="1"/>
      <c r="F62" s="1"/>
      <c r="G62" s="1"/>
      <c r="H62" s="1"/>
      <c r="I62" s="2"/>
      <c r="J62" s="63"/>
      <c r="K62" s="63"/>
      <c r="L62" s="63"/>
    </row>
    <row r="63" spans="3:12" ht="15.75" customHeight="1">
      <c r="C63" s="1"/>
      <c r="D63" s="1"/>
      <c r="E63" s="1"/>
      <c r="F63" s="1"/>
      <c r="G63" s="1"/>
      <c r="H63" s="1"/>
      <c r="I63" s="2"/>
      <c r="J63" s="63"/>
      <c r="K63" s="63"/>
      <c r="L63" s="63"/>
    </row>
    <row r="64" spans="3:12" ht="15.75" customHeight="1">
      <c r="C64" s="1"/>
      <c r="D64" s="1"/>
      <c r="E64" s="1"/>
      <c r="F64" s="1"/>
      <c r="G64" s="1"/>
      <c r="H64" s="1"/>
      <c r="I64" s="2"/>
      <c r="J64" s="63"/>
      <c r="K64" s="63"/>
      <c r="L64" s="63"/>
    </row>
    <row r="65" spans="3:12" ht="15.75" customHeight="1">
      <c r="C65" s="1"/>
      <c r="D65" s="1"/>
      <c r="E65" s="1"/>
      <c r="F65" s="1"/>
      <c r="G65" s="1"/>
      <c r="H65" s="1"/>
      <c r="I65" s="2"/>
      <c r="J65" s="63"/>
      <c r="K65" s="63"/>
      <c r="L65" s="63"/>
    </row>
    <row r="66" spans="3:12" ht="15.75" customHeight="1">
      <c r="C66" s="1"/>
      <c r="D66" s="1"/>
      <c r="E66" s="1"/>
      <c r="F66" s="1"/>
      <c r="G66" s="1"/>
      <c r="H66" s="1"/>
      <c r="I66" s="2"/>
      <c r="J66" s="63"/>
      <c r="K66" s="63"/>
      <c r="L66" s="63"/>
    </row>
    <row r="67" spans="3:12" ht="15.75" customHeight="1">
      <c r="C67" s="1"/>
      <c r="D67" s="1"/>
      <c r="E67" s="1"/>
      <c r="F67" s="1"/>
      <c r="G67" s="1"/>
      <c r="H67" s="1"/>
      <c r="I67" s="2"/>
      <c r="J67" s="63"/>
      <c r="K67" s="63"/>
      <c r="L67" s="63"/>
    </row>
    <row r="68" spans="3:12" ht="15.75" customHeight="1">
      <c r="C68" s="1"/>
      <c r="D68" s="1"/>
      <c r="E68" s="1"/>
      <c r="F68" s="1"/>
      <c r="G68" s="1"/>
      <c r="H68" s="1"/>
      <c r="I68" s="2"/>
      <c r="J68" s="63"/>
      <c r="K68" s="63"/>
      <c r="L68" s="63"/>
    </row>
    <row r="69" spans="3:12" ht="15.75" customHeight="1">
      <c r="C69" s="1"/>
      <c r="D69" s="1"/>
      <c r="E69" s="1"/>
      <c r="F69" s="1"/>
      <c r="G69" s="1"/>
      <c r="H69" s="1"/>
      <c r="I69" s="2"/>
      <c r="J69" s="63"/>
      <c r="K69" s="63"/>
      <c r="L69" s="63"/>
    </row>
    <row r="70" spans="3:12" ht="15.75" customHeight="1">
      <c r="C70" s="1"/>
      <c r="D70" s="1"/>
      <c r="E70" s="1"/>
      <c r="F70" s="1"/>
      <c r="G70" s="1"/>
      <c r="H70" s="1"/>
      <c r="I70" s="2"/>
      <c r="J70" s="63"/>
      <c r="K70" s="63"/>
      <c r="L70" s="63"/>
    </row>
    <row r="71" spans="3:12" ht="15.75" customHeight="1">
      <c r="C71" s="1"/>
      <c r="D71" s="1"/>
      <c r="E71" s="1"/>
      <c r="F71" s="1"/>
      <c r="G71" s="1"/>
      <c r="H71" s="1"/>
      <c r="I71" s="2"/>
      <c r="J71" s="63"/>
      <c r="K71" s="63"/>
      <c r="L71" s="63"/>
    </row>
    <row r="72" spans="3:12" ht="15.75" customHeight="1">
      <c r="C72" s="1"/>
      <c r="D72" s="1"/>
      <c r="E72" s="1"/>
      <c r="F72" s="1"/>
      <c r="G72" s="1"/>
      <c r="H72" s="1"/>
      <c r="I72" s="2"/>
      <c r="J72" s="63"/>
      <c r="K72" s="63"/>
      <c r="L72" s="63"/>
    </row>
    <row r="73" spans="3:12" ht="15.75" customHeight="1">
      <c r="C73" s="1"/>
      <c r="D73" s="1"/>
      <c r="E73" s="1"/>
      <c r="F73" s="1"/>
      <c r="G73" s="1"/>
      <c r="H73" s="1"/>
      <c r="I73" s="2"/>
      <c r="J73" s="63"/>
      <c r="K73" s="63"/>
      <c r="L73" s="63"/>
    </row>
    <row r="74" spans="3:12" ht="15.75" customHeight="1">
      <c r="C74" s="1"/>
      <c r="D74" s="1"/>
      <c r="E74" s="1"/>
      <c r="F74" s="1"/>
      <c r="G74" s="1"/>
      <c r="H74" s="1"/>
      <c r="I74" s="2"/>
      <c r="J74" s="63"/>
      <c r="K74" s="63"/>
      <c r="L74" s="63"/>
    </row>
    <row r="75" spans="3:12" ht="15.75" customHeight="1">
      <c r="C75" s="1"/>
      <c r="D75" s="1"/>
      <c r="E75" s="1"/>
      <c r="F75" s="1"/>
      <c r="G75" s="1"/>
      <c r="H75" s="1"/>
      <c r="I75" s="2"/>
      <c r="J75" s="63"/>
      <c r="K75" s="63"/>
      <c r="L75" s="63"/>
    </row>
    <row r="76" spans="3:12" ht="15.75" customHeight="1">
      <c r="C76" s="1"/>
      <c r="D76" s="1"/>
      <c r="E76" s="1"/>
      <c r="F76" s="1"/>
      <c r="G76" s="1"/>
      <c r="H76" s="1"/>
      <c r="I76" s="2"/>
      <c r="J76" s="63"/>
      <c r="K76" s="63"/>
      <c r="L76" s="63"/>
    </row>
    <row r="77" spans="3:12" ht="15.75" customHeight="1">
      <c r="C77" s="1"/>
      <c r="D77" s="1"/>
      <c r="E77" s="1"/>
      <c r="F77" s="1"/>
      <c r="G77" s="1"/>
      <c r="H77" s="1"/>
      <c r="I77" s="2"/>
      <c r="J77" s="63"/>
      <c r="K77" s="63"/>
      <c r="L77" s="63"/>
    </row>
    <row r="78" spans="3:12" ht="15.75" customHeight="1">
      <c r="C78" s="1"/>
      <c r="D78" s="1"/>
      <c r="E78" s="1"/>
      <c r="F78" s="1"/>
      <c r="G78" s="1"/>
      <c r="H78" s="1"/>
      <c r="I78" s="2"/>
      <c r="J78" s="63"/>
      <c r="K78" s="63"/>
      <c r="L78" s="63"/>
    </row>
    <row r="79" spans="3:12" ht="15.75" customHeight="1">
      <c r="C79" s="1"/>
      <c r="D79" s="1"/>
      <c r="E79" s="1"/>
      <c r="F79" s="1"/>
      <c r="G79" s="1"/>
      <c r="H79" s="1"/>
      <c r="I79" s="2"/>
      <c r="J79" s="63"/>
      <c r="K79" s="63"/>
      <c r="L79" s="63"/>
    </row>
    <row r="80" spans="3:12" ht="15.75" customHeight="1">
      <c r="C80" s="1"/>
      <c r="D80" s="1"/>
      <c r="E80" s="1"/>
      <c r="F80" s="1"/>
      <c r="G80" s="1"/>
      <c r="H80" s="1"/>
      <c r="I80" s="2"/>
      <c r="J80" s="63"/>
      <c r="K80" s="63"/>
      <c r="L80" s="63"/>
    </row>
    <row r="81" spans="3:19" ht="15.75" customHeight="1">
      <c r="C81" s="1"/>
      <c r="D81" s="1"/>
      <c r="E81" s="1"/>
      <c r="F81" s="1"/>
      <c r="G81" s="1"/>
      <c r="H81" s="1"/>
      <c r="I81" s="2"/>
      <c r="J81" s="63"/>
      <c r="K81" s="63"/>
      <c r="L81" s="63"/>
    </row>
    <row r="82" spans="3:19" ht="15.75" customHeight="1">
      <c r="C82" s="1"/>
      <c r="D82" s="1"/>
      <c r="E82" s="1"/>
      <c r="F82" s="1"/>
      <c r="G82" s="1"/>
      <c r="H82" s="1"/>
      <c r="I82" s="2"/>
      <c r="J82" s="63"/>
      <c r="K82" s="63"/>
      <c r="L82" s="63"/>
    </row>
    <row r="83" spans="3:19" ht="15.75" customHeight="1">
      <c r="C83" s="1"/>
      <c r="D83" s="1"/>
      <c r="E83" s="1"/>
      <c r="F83" s="1"/>
      <c r="G83" s="1"/>
      <c r="H83" s="1"/>
      <c r="I83" s="2"/>
      <c r="J83" s="63"/>
      <c r="K83" s="63"/>
      <c r="L83" s="63"/>
    </row>
    <row r="84" spans="3:19" ht="15.75" customHeight="1">
      <c r="C84" s="1"/>
      <c r="D84" s="1"/>
      <c r="E84" s="1"/>
      <c r="F84" s="1"/>
      <c r="G84" s="1"/>
      <c r="H84" s="1"/>
      <c r="I84" s="2"/>
      <c r="J84" s="63"/>
      <c r="K84" s="63"/>
      <c r="L84" s="63"/>
    </row>
    <row r="85" spans="3:19" ht="15.75" customHeight="1">
      <c r="C85" s="1"/>
      <c r="D85" s="1"/>
      <c r="E85" s="1"/>
      <c r="F85" s="1"/>
      <c r="G85" s="1"/>
      <c r="H85" s="1"/>
      <c r="I85" s="2"/>
      <c r="J85" s="63"/>
      <c r="K85" s="63"/>
      <c r="L85" s="63"/>
    </row>
    <row r="86" spans="3:19" ht="15.75" customHeight="1">
      <c r="C86" s="1"/>
      <c r="D86" s="1"/>
      <c r="E86" s="1"/>
      <c r="F86" s="1"/>
      <c r="G86" s="1"/>
      <c r="H86" s="1"/>
      <c r="I86" s="2"/>
      <c r="J86" s="63"/>
      <c r="K86" s="63"/>
      <c r="L86" s="63"/>
    </row>
    <row r="87" spans="3:19" ht="15.75" customHeight="1">
      <c r="C87" s="1"/>
      <c r="D87" s="1"/>
      <c r="E87" s="1"/>
      <c r="F87" s="1"/>
      <c r="G87" s="1"/>
      <c r="H87" s="1"/>
      <c r="I87" s="2"/>
      <c r="J87" s="63"/>
      <c r="K87" s="63"/>
      <c r="L87" s="63"/>
    </row>
    <row r="88" spans="3:19" ht="15.75" customHeight="1">
      <c r="C88" s="1"/>
      <c r="D88" s="1"/>
      <c r="E88" s="1"/>
      <c r="F88" s="1"/>
      <c r="G88" s="1"/>
      <c r="H88" s="1"/>
      <c r="I88" s="2"/>
      <c r="J88" s="63"/>
      <c r="K88" s="63"/>
      <c r="L88" s="63"/>
    </row>
    <row r="89" spans="3:19" ht="15.75" customHeight="1">
      <c r="C89" s="1"/>
      <c r="D89" s="1"/>
      <c r="E89" s="1"/>
      <c r="F89" s="1"/>
      <c r="G89" s="1"/>
      <c r="H89" s="1"/>
      <c r="I89" s="2"/>
      <c r="J89" s="63"/>
      <c r="K89" s="63"/>
      <c r="L89" s="63"/>
    </row>
    <row r="90" spans="3:19" ht="15.75" customHeight="1">
      <c r="C90" s="1"/>
      <c r="D90" s="1"/>
      <c r="E90" s="1"/>
      <c r="F90" s="1"/>
      <c r="G90" s="1"/>
      <c r="H90" s="1"/>
      <c r="I90" s="2"/>
      <c r="J90" s="63"/>
      <c r="K90" s="63"/>
      <c r="L90" s="63"/>
    </row>
    <row r="91" spans="3:19" ht="15.75" customHeight="1">
      <c r="C91" s="1"/>
      <c r="D91" s="1"/>
      <c r="E91" s="1"/>
      <c r="F91" s="1"/>
      <c r="G91" s="1"/>
      <c r="H91" s="1"/>
      <c r="I91" s="2"/>
      <c r="J91" s="63"/>
      <c r="K91" s="63"/>
      <c r="L91" s="63"/>
    </row>
    <row r="92" spans="3:19" ht="15.75" customHeight="1">
      <c r="C92" s="1"/>
      <c r="D92" s="1"/>
      <c r="E92" s="1"/>
      <c r="F92" s="1"/>
      <c r="G92" s="1"/>
      <c r="H92" s="1"/>
      <c r="I92" s="2"/>
      <c r="J92" s="63"/>
      <c r="K92" s="63"/>
      <c r="L92" s="63"/>
    </row>
    <row r="93" spans="3:19" ht="15.75" customHeight="1">
      <c r="C93" s="1"/>
      <c r="D93" s="1"/>
      <c r="E93" s="1"/>
      <c r="F93" s="1"/>
      <c r="G93" s="1"/>
      <c r="H93" s="1"/>
      <c r="I93" s="2"/>
      <c r="J93" s="63"/>
      <c r="K93" s="63"/>
      <c r="L93" s="63"/>
    </row>
    <row r="94" spans="3:19" ht="15.75" customHeight="1">
      <c r="C94" s="1"/>
      <c r="D94" s="1"/>
      <c r="E94" s="1"/>
      <c r="F94" s="1"/>
      <c r="G94" s="1"/>
      <c r="H94" s="1"/>
      <c r="I94" s="2"/>
      <c r="J94" s="63"/>
      <c r="K94" s="63"/>
      <c r="L94" s="63"/>
    </row>
    <row r="95" spans="3:19" ht="15.75" customHeight="1">
      <c r="C95" s="1"/>
      <c r="D95" s="1"/>
      <c r="E95" s="1"/>
      <c r="F95" s="1"/>
      <c r="G95" s="1"/>
      <c r="H95" s="1"/>
      <c r="I95" s="2"/>
      <c r="J95" s="63"/>
      <c r="K95" s="63"/>
      <c r="L95" s="63"/>
    </row>
    <row r="96" spans="3:19" ht="15.75" customHeight="1">
      <c r="C96" s="1"/>
      <c r="I96" s="2"/>
      <c r="J96" s="63"/>
      <c r="K96" s="63"/>
      <c r="L96" s="63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63"/>
      <c r="K97" s="63"/>
      <c r="L97" s="63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63"/>
      <c r="K98" s="63"/>
      <c r="L98" s="63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63"/>
      <c r="K99" s="63"/>
      <c r="L99" s="63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63"/>
      <c r="K100" s="63"/>
      <c r="L100" s="63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63"/>
      <c r="K101" s="63"/>
      <c r="L101" s="63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63"/>
      <c r="K102" s="63"/>
      <c r="L102" s="63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63"/>
      <c r="K103" s="63"/>
      <c r="L103" s="63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63"/>
      <c r="K104" s="63"/>
      <c r="L104" s="63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63"/>
      <c r="K105" s="63"/>
      <c r="L105" s="63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63"/>
      <c r="K106" s="63"/>
      <c r="L106" s="63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63"/>
      <c r="K107" s="63"/>
      <c r="L107" s="63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63"/>
      <c r="K108" s="63"/>
      <c r="L108" s="63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63"/>
      <c r="K109" s="63"/>
      <c r="L109" s="63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63"/>
      <c r="K110" s="63"/>
      <c r="L110" s="63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63"/>
      <c r="K111" s="63"/>
      <c r="L111" s="63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63"/>
      <c r="K112" s="63"/>
      <c r="L112" s="63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63"/>
      <c r="K113" s="63"/>
      <c r="L113" s="63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63"/>
      <c r="K114" s="63"/>
      <c r="L114" s="63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63"/>
      <c r="K115" s="63"/>
      <c r="L115" s="63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63"/>
      <c r="K116" s="63"/>
      <c r="L116" s="63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63"/>
      <c r="K117" s="63"/>
      <c r="L117" s="63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63"/>
      <c r="K118" s="63"/>
      <c r="L118" s="63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63"/>
      <c r="K119" s="63"/>
      <c r="L119" s="63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63"/>
      <c r="K120" s="63"/>
      <c r="L120" s="63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63"/>
      <c r="K121" s="63"/>
      <c r="L121" s="63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63"/>
      <c r="K122" s="63"/>
      <c r="L122" s="63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63"/>
      <c r="K123" s="63"/>
      <c r="L123" s="63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63"/>
      <c r="K124" s="63"/>
      <c r="L124" s="63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63"/>
      <c r="K125" s="63"/>
      <c r="L125" s="63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63"/>
      <c r="K126" s="63"/>
      <c r="L126" s="63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63"/>
      <c r="K127" s="63"/>
      <c r="L127" s="63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63"/>
      <c r="K128" s="63"/>
      <c r="L128" s="63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63"/>
      <c r="K129" s="63"/>
      <c r="L129" s="63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63"/>
      <c r="K130" s="63"/>
      <c r="L130" s="63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63"/>
      <c r="K131" s="63"/>
      <c r="L131" s="63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63"/>
      <c r="K132" s="63"/>
      <c r="L132" s="63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63"/>
      <c r="K133" s="63"/>
      <c r="L133" s="63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63"/>
      <c r="K134" s="63"/>
      <c r="L134" s="63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63"/>
      <c r="K135" s="63"/>
      <c r="L135" s="63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63"/>
      <c r="K136" s="63"/>
      <c r="L136" s="63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63"/>
      <c r="K137" s="63"/>
      <c r="L137" s="63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63"/>
      <c r="K138" s="63"/>
      <c r="L138" s="63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63"/>
      <c r="K139" s="63"/>
      <c r="L139" s="63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63"/>
      <c r="K140" s="63"/>
      <c r="L140" s="63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63"/>
      <c r="K141" s="63"/>
      <c r="L141" s="63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63"/>
      <c r="K142" s="63"/>
      <c r="L142" s="63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63"/>
      <c r="K143" s="63"/>
      <c r="L143" s="63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63"/>
      <c r="K144" s="63"/>
      <c r="L144" s="63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63"/>
      <c r="K145" s="63"/>
      <c r="L145" s="63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63"/>
      <c r="K146" s="63"/>
      <c r="L146" s="63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63"/>
      <c r="K147" s="63"/>
      <c r="L147" s="63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63"/>
      <c r="K148" s="63"/>
      <c r="L148" s="63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63"/>
      <c r="K149" s="63"/>
      <c r="L149" s="63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63"/>
      <c r="K150" s="63"/>
      <c r="L150" s="63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63"/>
      <c r="K151" s="63"/>
      <c r="L151" s="63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63"/>
      <c r="K152" s="63"/>
      <c r="L152" s="63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63"/>
      <c r="K153" s="63"/>
      <c r="L153" s="63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63"/>
      <c r="K154" s="63"/>
      <c r="L154" s="63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63"/>
      <c r="K155" s="63"/>
      <c r="L155" s="63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63"/>
      <c r="K156" s="63"/>
      <c r="L156" s="63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63"/>
      <c r="K157" s="63"/>
      <c r="L157" s="63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63"/>
      <c r="K158" s="63"/>
      <c r="L158" s="63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63"/>
      <c r="K159" s="63"/>
      <c r="L159" s="63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63"/>
      <c r="K160" s="63"/>
      <c r="L160" s="63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63"/>
      <c r="K161" s="63"/>
      <c r="L161" s="63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63"/>
      <c r="K162" s="63"/>
      <c r="L162" s="63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63"/>
      <c r="K163" s="63"/>
      <c r="L163" s="63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63"/>
      <c r="K164" s="63"/>
      <c r="L164" s="63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63"/>
      <c r="K165" s="63"/>
      <c r="L165" s="63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63"/>
      <c r="K166" s="63"/>
      <c r="L166" s="63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63"/>
      <c r="K167" s="63"/>
      <c r="L167" s="63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63"/>
      <c r="K168" s="63"/>
      <c r="L168" s="63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63"/>
      <c r="K169" s="63"/>
      <c r="L169" s="63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63"/>
      <c r="K170" s="63"/>
      <c r="L170" s="63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63"/>
      <c r="K171" s="63"/>
      <c r="L171" s="63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63"/>
      <c r="K172" s="63"/>
      <c r="L172" s="63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63"/>
      <c r="K173" s="63"/>
      <c r="L173" s="63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63"/>
      <c r="K174" s="63"/>
      <c r="L174" s="63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63"/>
      <c r="K175" s="63"/>
      <c r="L175" s="63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63"/>
      <c r="K176" s="63"/>
      <c r="L176" s="63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63"/>
      <c r="K177" s="63"/>
      <c r="L177" s="63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63"/>
      <c r="K178" s="63"/>
      <c r="L178" s="63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63"/>
      <c r="K179" s="63"/>
      <c r="L179" s="63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63"/>
      <c r="K180" s="63"/>
      <c r="L180" s="63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63"/>
      <c r="K181" s="63"/>
      <c r="L181" s="63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63"/>
      <c r="K182" s="63"/>
      <c r="L182" s="63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63"/>
      <c r="K183" s="63"/>
      <c r="L183" s="63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63"/>
      <c r="K184" s="63"/>
      <c r="L184" s="63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63"/>
      <c r="K185" s="63"/>
      <c r="L185" s="63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63"/>
      <c r="K186" s="63"/>
      <c r="L186" s="63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63"/>
      <c r="K187" s="63"/>
      <c r="L187" s="63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63"/>
      <c r="K188" s="63"/>
      <c r="L188" s="63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63"/>
      <c r="K189" s="63"/>
      <c r="L189" s="63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63"/>
      <c r="K190" s="63"/>
      <c r="L190" s="63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63"/>
      <c r="K191" s="63"/>
      <c r="L191" s="63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63"/>
      <c r="K192" s="63"/>
      <c r="L192" s="63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63"/>
      <c r="K193" s="63"/>
      <c r="L193" s="63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63"/>
      <c r="K194" s="63"/>
      <c r="L194" s="63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63"/>
      <c r="K195" s="63"/>
      <c r="L195" s="63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63"/>
      <c r="K196" s="63"/>
      <c r="L196" s="63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63"/>
      <c r="K197" s="63"/>
      <c r="L197" s="63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63"/>
      <c r="K198" s="63"/>
      <c r="L198" s="63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63"/>
      <c r="K199" s="63"/>
      <c r="L199" s="63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63"/>
      <c r="K200" s="63"/>
      <c r="L200" s="63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63"/>
      <c r="K201" s="63"/>
      <c r="L201" s="63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63"/>
      <c r="K202" s="63"/>
      <c r="L202" s="63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63"/>
      <c r="K203" s="63"/>
      <c r="L203" s="63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63"/>
      <c r="K204" s="63"/>
      <c r="L204" s="63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63"/>
      <c r="K205" s="63"/>
      <c r="L205" s="63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63"/>
      <c r="K206" s="63"/>
      <c r="L206" s="63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63"/>
      <c r="K207" s="63"/>
      <c r="L207" s="63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63"/>
      <c r="K208" s="63"/>
      <c r="L208" s="63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63"/>
      <c r="K209" s="63"/>
      <c r="L209" s="63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63"/>
      <c r="K210" s="63"/>
      <c r="L210" s="63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63"/>
      <c r="K211" s="63"/>
      <c r="L211" s="63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63"/>
      <c r="K212" s="63"/>
      <c r="L212" s="63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63"/>
      <c r="K213" s="63"/>
      <c r="L213" s="63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63"/>
      <c r="K214" s="63"/>
      <c r="L214" s="63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63"/>
      <c r="K215" s="63"/>
      <c r="L215" s="63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63"/>
      <c r="K216" s="63"/>
      <c r="L216" s="63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63"/>
      <c r="K217" s="63"/>
      <c r="L217" s="63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63"/>
      <c r="K218" s="63"/>
      <c r="L218" s="63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63"/>
      <c r="K219" s="63"/>
      <c r="L219" s="63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63"/>
      <c r="K220" s="63"/>
      <c r="L220" s="63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63"/>
      <c r="K221" s="63"/>
      <c r="L221" s="63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63"/>
      <c r="K222" s="63"/>
      <c r="L222" s="63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63"/>
      <c r="K223" s="63"/>
      <c r="L223" s="63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63"/>
      <c r="K224" s="63"/>
      <c r="L224" s="63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63"/>
      <c r="K225" s="63"/>
      <c r="L225" s="63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63"/>
      <c r="K226" s="63"/>
      <c r="L226" s="63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63"/>
      <c r="K227" s="63"/>
      <c r="L227" s="63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63"/>
      <c r="K228" s="63"/>
      <c r="L228" s="63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63"/>
      <c r="K229" s="63"/>
      <c r="L229" s="63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63"/>
      <c r="K230" s="63"/>
      <c r="L230" s="63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63"/>
      <c r="K231" s="63"/>
      <c r="L231" s="63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63"/>
      <c r="K232" s="63"/>
      <c r="L232" s="63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63"/>
      <c r="K233" s="63"/>
      <c r="L233" s="63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63"/>
      <c r="K234" s="63"/>
      <c r="L234" s="63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63"/>
      <c r="K235" s="63"/>
      <c r="L235" s="63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63"/>
      <c r="K236" s="63"/>
      <c r="L236" s="63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63"/>
      <c r="K237" s="63"/>
      <c r="L237" s="63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63"/>
      <c r="K238" s="63"/>
      <c r="L238" s="63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63"/>
      <c r="K239" s="63"/>
      <c r="L239" s="63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63"/>
      <c r="K240" s="63"/>
      <c r="L240" s="63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63"/>
      <c r="K241" s="63"/>
      <c r="L241" s="63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63"/>
      <c r="K242" s="63"/>
      <c r="L242" s="63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63"/>
      <c r="K243" s="63"/>
      <c r="L243" s="63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63"/>
      <c r="K244" s="63"/>
      <c r="L244" s="63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63"/>
      <c r="K245" s="63"/>
      <c r="L245" s="63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63"/>
      <c r="K246" s="63"/>
      <c r="L246" s="63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63"/>
      <c r="K247" s="63"/>
      <c r="L247" s="63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63"/>
      <c r="K248" s="63"/>
      <c r="L248" s="63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63"/>
      <c r="K249" s="63"/>
      <c r="L249" s="63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63"/>
      <c r="K250" s="63"/>
      <c r="L250" s="63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63"/>
      <c r="K251" s="63"/>
      <c r="L251" s="63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63"/>
      <c r="K252" s="63"/>
      <c r="L252" s="63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63"/>
      <c r="K253" s="63"/>
      <c r="L253" s="63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63"/>
      <c r="K254" s="63"/>
      <c r="L254" s="63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63"/>
      <c r="K255" s="63"/>
      <c r="L255" s="63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63"/>
      <c r="K256" s="63"/>
      <c r="L256" s="63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63"/>
      <c r="K257" s="63"/>
      <c r="L257" s="63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63"/>
      <c r="K258" s="63"/>
      <c r="L258" s="63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63"/>
      <c r="K259" s="63"/>
      <c r="L259" s="63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63"/>
      <c r="K260" s="63"/>
      <c r="L260" s="63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63"/>
      <c r="K261" s="63"/>
      <c r="L261" s="63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63"/>
      <c r="K262" s="63"/>
      <c r="L262" s="63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63"/>
      <c r="K263" s="63"/>
      <c r="L263" s="63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63"/>
      <c r="K264" s="63"/>
      <c r="L264" s="63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63"/>
      <c r="K265" s="63"/>
      <c r="L265" s="63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63"/>
      <c r="K266" s="63"/>
      <c r="L266" s="63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63"/>
      <c r="K267" s="63"/>
      <c r="L267" s="63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63"/>
      <c r="K268" s="63"/>
      <c r="L268" s="63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63"/>
      <c r="K269" s="63"/>
      <c r="L269" s="63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63"/>
      <c r="K270" s="63"/>
      <c r="L270" s="63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63"/>
      <c r="K271" s="63"/>
      <c r="L271" s="63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63"/>
      <c r="K272" s="63"/>
      <c r="L272" s="63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63"/>
      <c r="K273" s="63"/>
      <c r="L273" s="63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63"/>
      <c r="K274" s="63"/>
      <c r="L274" s="63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63"/>
      <c r="K275" s="63"/>
      <c r="L275" s="63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63"/>
      <c r="K276" s="63"/>
      <c r="L276" s="63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63"/>
      <c r="K277" s="63"/>
      <c r="L277" s="63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63"/>
      <c r="K278" s="63"/>
      <c r="L278" s="63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63"/>
      <c r="K279" s="63"/>
      <c r="L279" s="63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63"/>
      <c r="K280" s="63"/>
      <c r="L280" s="63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63"/>
      <c r="K281" s="63"/>
      <c r="L281" s="63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63"/>
      <c r="K282" s="63"/>
      <c r="L282" s="63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63"/>
      <c r="K283" s="63"/>
      <c r="L283" s="63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63"/>
      <c r="K284" s="63"/>
      <c r="L284" s="63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63"/>
      <c r="K285" s="63"/>
      <c r="L285" s="63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63"/>
      <c r="K286" s="63"/>
      <c r="L286" s="63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63"/>
      <c r="K287" s="63"/>
      <c r="L287" s="63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63"/>
      <c r="K288" s="63"/>
      <c r="L288" s="63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63"/>
      <c r="K289" s="63"/>
      <c r="L289" s="63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63"/>
      <c r="K290" s="63"/>
      <c r="L290" s="63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63"/>
      <c r="K291" s="63"/>
      <c r="L291" s="63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63"/>
      <c r="K292" s="63"/>
      <c r="L292" s="63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63"/>
      <c r="K293" s="63"/>
      <c r="L293" s="63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63"/>
      <c r="K294" s="63"/>
      <c r="L294" s="63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63"/>
      <c r="K295" s="63"/>
      <c r="L295" s="63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63"/>
      <c r="K296" s="63"/>
      <c r="L296" s="63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63"/>
      <c r="K297" s="63"/>
      <c r="L297" s="63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63"/>
      <c r="K298" s="63"/>
      <c r="L298" s="63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63"/>
      <c r="K299" s="63"/>
      <c r="L299" s="63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63"/>
      <c r="K300" s="63"/>
      <c r="L300" s="63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63"/>
      <c r="K301" s="63"/>
      <c r="L301" s="63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63"/>
      <c r="K302" s="63"/>
      <c r="L302" s="63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63"/>
      <c r="K303" s="63"/>
      <c r="L303" s="63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63"/>
      <c r="K304" s="63"/>
      <c r="L304" s="63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63"/>
      <c r="K305" s="63"/>
      <c r="L305" s="63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63"/>
      <c r="K306" s="63"/>
      <c r="L306" s="63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63"/>
      <c r="K307" s="63"/>
      <c r="L307" s="63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63"/>
      <c r="K308" s="63"/>
      <c r="L308" s="63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63"/>
      <c r="K309" s="63"/>
      <c r="L309" s="63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63"/>
      <c r="K310" s="63"/>
      <c r="L310" s="63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63"/>
      <c r="K311" s="63"/>
      <c r="L311" s="63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63"/>
      <c r="K312" s="63"/>
      <c r="L312" s="63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63"/>
      <c r="K313" s="63"/>
      <c r="L313" s="63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63"/>
      <c r="K314" s="63"/>
      <c r="L314" s="63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63"/>
      <c r="K315" s="63"/>
      <c r="L315" s="63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63"/>
      <c r="K316" s="63"/>
      <c r="L316" s="63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63"/>
      <c r="K317" s="63"/>
      <c r="L317" s="63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63"/>
      <c r="K318" s="63"/>
      <c r="L318" s="63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63"/>
      <c r="K319" s="63"/>
      <c r="L319" s="63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63"/>
      <c r="K320" s="63"/>
      <c r="L320" s="63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63"/>
      <c r="K321" s="63"/>
      <c r="L321" s="63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63"/>
      <c r="K322" s="63"/>
      <c r="L322" s="63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63"/>
      <c r="K323" s="63"/>
      <c r="L323" s="63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63"/>
      <c r="K324" s="63"/>
      <c r="L324" s="63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63"/>
      <c r="K325" s="63"/>
      <c r="L325" s="63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63"/>
      <c r="K326" s="63"/>
      <c r="L326" s="63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63"/>
      <c r="K327" s="63"/>
      <c r="L327" s="63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63"/>
      <c r="K328" s="63"/>
      <c r="L328" s="63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63"/>
      <c r="K329" s="63"/>
      <c r="L329" s="63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63"/>
      <c r="K330" s="63"/>
      <c r="L330" s="63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63"/>
      <c r="K331" s="63"/>
      <c r="L331" s="63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63"/>
      <c r="K332" s="63"/>
      <c r="L332" s="63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63"/>
      <c r="K333" s="63"/>
      <c r="L333" s="63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63"/>
      <c r="K334" s="63"/>
      <c r="L334" s="63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63"/>
      <c r="K335" s="63"/>
      <c r="L335" s="63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63"/>
      <c r="K336" s="63"/>
      <c r="L336" s="63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63"/>
      <c r="K337" s="63"/>
      <c r="L337" s="63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63"/>
      <c r="K338" s="63"/>
      <c r="L338" s="63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63"/>
      <c r="K339" s="63"/>
      <c r="L339" s="63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63"/>
      <c r="K340" s="63"/>
      <c r="L340" s="63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63"/>
      <c r="K341" s="63"/>
      <c r="L341" s="63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63"/>
      <c r="K342" s="63"/>
      <c r="L342" s="63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63"/>
      <c r="K343" s="63"/>
      <c r="L343" s="63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63"/>
      <c r="K344" s="63"/>
      <c r="L344" s="63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63"/>
      <c r="K345" s="63"/>
      <c r="L345" s="63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63"/>
      <c r="K346" s="63"/>
      <c r="L346" s="63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63"/>
      <c r="K347" s="63"/>
      <c r="L347" s="63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63"/>
      <c r="K348" s="63"/>
      <c r="L348" s="63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63"/>
      <c r="K349" s="63"/>
      <c r="L349" s="63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63"/>
      <c r="K350" s="63"/>
      <c r="L350" s="63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63"/>
      <c r="K351" s="63"/>
      <c r="L351" s="63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63"/>
      <c r="K352" s="63"/>
      <c r="L352" s="63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63"/>
      <c r="K353" s="63"/>
      <c r="L353" s="63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63"/>
      <c r="K354" s="63"/>
      <c r="L354" s="63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63"/>
      <c r="K355" s="63"/>
      <c r="L355" s="63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63"/>
      <c r="K356" s="63"/>
      <c r="L356" s="63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63"/>
      <c r="K357" s="63"/>
      <c r="L357" s="63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63"/>
      <c r="K358" s="63"/>
      <c r="L358" s="63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63"/>
      <c r="K359" s="63"/>
      <c r="L359" s="63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63"/>
      <c r="K360" s="63"/>
      <c r="L360" s="63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63"/>
      <c r="K361" s="63"/>
      <c r="L361" s="63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63"/>
      <c r="K362" s="63"/>
      <c r="L362" s="63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63"/>
      <c r="K363" s="63"/>
      <c r="L363" s="63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63"/>
      <c r="K364" s="63"/>
      <c r="L364" s="63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63"/>
      <c r="K365" s="63"/>
      <c r="L365" s="63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63"/>
      <c r="K366" s="63"/>
      <c r="L366" s="63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63"/>
      <c r="K367" s="63"/>
      <c r="L367" s="63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63"/>
      <c r="K368" s="63"/>
      <c r="L368" s="63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63"/>
      <c r="K369" s="63"/>
      <c r="L369" s="63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63"/>
      <c r="K370" s="63"/>
      <c r="L370" s="63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63"/>
      <c r="K371" s="63"/>
      <c r="L371" s="63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63"/>
      <c r="K372" s="63"/>
      <c r="L372" s="63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63"/>
      <c r="K373" s="63"/>
      <c r="L373" s="63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63"/>
      <c r="K374" s="63"/>
      <c r="L374" s="63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63"/>
      <c r="K375" s="63"/>
      <c r="L375" s="63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63"/>
      <c r="K376" s="63"/>
      <c r="L376" s="63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63"/>
      <c r="K377" s="63"/>
      <c r="L377" s="63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63"/>
      <c r="K378" s="63"/>
      <c r="L378" s="63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63"/>
      <c r="K379" s="63"/>
      <c r="L379" s="63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63"/>
      <c r="K380" s="63"/>
      <c r="L380" s="63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63"/>
      <c r="K381" s="63"/>
      <c r="L381" s="63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63"/>
      <c r="K382" s="63"/>
      <c r="L382" s="63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63"/>
      <c r="K383" s="63"/>
      <c r="L383" s="63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63"/>
      <c r="K384" s="63"/>
      <c r="L384" s="63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63"/>
      <c r="K385" s="63"/>
      <c r="L385" s="63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63"/>
      <c r="K386" s="63"/>
      <c r="L386" s="63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63"/>
      <c r="K387" s="63"/>
      <c r="L387" s="63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63"/>
      <c r="K388" s="63"/>
      <c r="L388" s="63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63"/>
      <c r="K389" s="63"/>
      <c r="L389" s="63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63"/>
      <c r="K390" s="63"/>
      <c r="L390" s="63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63"/>
      <c r="K391" s="63"/>
      <c r="L391" s="63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63"/>
      <c r="K392" s="63"/>
      <c r="L392" s="63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63"/>
      <c r="K393" s="63"/>
      <c r="L393" s="63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63"/>
      <c r="K394" s="63"/>
      <c r="L394" s="63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63"/>
      <c r="K395" s="63"/>
      <c r="L395" s="63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63"/>
      <c r="K396" s="63"/>
      <c r="L396" s="63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63"/>
      <c r="K397" s="63"/>
      <c r="L397" s="63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63"/>
      <c r="K398" s="63"/>
      <c r="L398" s="63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63"/>
      <c r="K399" s="63"/>
      <c r="L399" s="63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63"/>
      <c r="K400" s="63"/>
      <c r="L400" s="63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63"/>
      <c r="K401" s="63"/>
      <c r="L401" s="63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63"/>
      <c r="K402" s="63"/>
      <c r="L402" s="63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63"/>
      <c r="K403" s="63"/>
      <c r="L403" s="63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63"/>
      <c r="K404" s="63"/>
      <c r="L404" s="63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63"/>
      <c r="K405" s="63"/>
      <c r="L405" s="63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63"/>
      <c r="K406" s="63"/>
      <c r="L406" s="63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63"/>
      <c r="K407" s="63"/>
      <c r="L407" s="63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63"/>
      <c r="K408" s="63"/>
      <c r="L408" s="63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63"/>
      <c r="K409" s="63"/>
      <c r="L409" s="63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63"/>
      <c r="K410" s="63"/>
      <c r="L410" s="63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63"/>
      <c r="K411" s="63"/>
      <c r="L411" s="63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63"/>
      <c r="K412" s="63"/>
      <c r="L412" s="63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63"/>
      <c r="K413" s="63"/>
      <c r="L413" s="63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63"/>
      <c r="K414" s="63"/>
      <c r="L414" s="63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63"/>
      <c r="K415" s="63"/>
      <c r="L415" s="63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63"/>
      <c r="K416" s="63"/>
      <c r="L416" s="63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63"/>
      <c r="K417" s="63"/>
      <c r="L417" s="63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63"/>
      <c r="K418" s="63"/>
      <c r="L418" s="63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63"/>
      <c r="K419" s="63"/>
      <c r="L419" s="63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63"/>
      <c r="K420" s="63"/>
      <c r="L420" s="63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63"/>
      <c r="K421" s="63"/>
      <c r="L421" s="63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63"/>
      <c r="K422" s="63"/>
      <c r="L422" s="63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63"/>
      <c r="K423" s="63"/>
      <c r="L423" s="63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63"/>
      <c r="K424" s="63"/>
      <c r="L424" s="63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63"/>
      <c r="K425" s="63"/>
      <c r="L425" s="63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63"/>
      <c r="K426" s="63"/>
      <c r="L426" s="63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63"/>
      <c r="K427" s="63"/>
      <c r="L427" s="63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63"/>
      <c r="K428" s="63"/>
      <c r="L428" s="63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63"/>
      <c r="K429" s="63"/>
      <c r="L429" s="63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63"/>
      <c r="K430" s="63"/>
      <c r="L430" s="63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63"/>
      <c r="K431" s="63"/>
      <c r="L431" s="63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63"/>
      <c r="K432" s="63"/>
      <c r="L432" s="63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63"/>
      <c r="K433" s="63"/>
      <c r="L433" s="63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63"/>
      <c r="K434" s="63"/>
      <c r="L434" s="63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63"/>
      <c r="K435" s="63"/>
      <c r="L435" s="63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63"/>
      <c r="K436" s="63"/>
      <c r="L436" s="63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63"/>
      <c r="K437" s="63"/>
      <c r="L437" s="63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63"/>
      <c r="K438" s="63"/>
      <c r="L438" s="63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63"/>
      <c r="K439" s="63"/>
      <c r="L439" s="63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63"/>
      <c r="K440" s="63"/>
      <c r="L440" s="63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63"/>
      <c r="K441" s="63"/>
      <c r="L441" s="63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63"/>
      <c r="K442" s="63"/>
      <c r="L442" s="63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63"/>
      <c r="K443" s="63"/>
      <c r="L443" s="63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63"/>
      <c r="K444" s="63"/>
      <c r="L444" s="63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63"/>
      <c r="K445" s="63"/>
      <c r="L445" s="63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63"/>
      <c r="K446" s="63"/>
      <c r="L446" s="63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63"/>
      <c r="K447" s="63"/>
      <c r="L447" s="63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63"/>
      <c r="K448" s="63"/>
      <c r="L448" s="63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63"/>
      <c r="K449" s="63"/>
      <c r="L449" s="63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63"/>
      <c r="K450" s="63"/>
      <c r="L450" s="63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63"/>
      <c r="K451" s="63"/>
      <c r="L451" s="63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63"/>
      <c r="K452" s="63"/>
      <c r="L452" s="63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63"/>
      <c r="K453" s="63"/>
      <c r="L453" s="63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63"/>
      <c r="K454" s="63"/>
      <c r="L454" s="63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63"/>
      <c r="K455" s="63"/>
      <c r="L455" s="63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63"/>
      <c r="K456" s="63"/>
      <c r="L456" s="63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63"/>
      <c r="K457" s="63"/>
      <c r="L457" s="63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63"/>
      <c r="K458" s="63"/>
      <c r="L458" s="63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63"/>
      <c r="K459" s="63"/>
      <c r="L459" s="63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63"/>
      <c r="K460" s="63"/>
      <c r="L460" s="63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63"/>
      <c r="K461" s="63"/>
      <c r="L461" s="63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63"/>
      <c r="K462" s="63"/>
      <c r="L462" s="63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63"/>
      <c r="K463" s="63"/>
      <c r="L463" s="63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63"/>
      <c r="K464" s="63"/>
      <c r="L464" s="63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63"/>
      <c r="K465" s="63"/>
      <c r="L465" s="63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63"/>
      <c r="K466" s="63"/>
      <c r="L466" s="63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63"/>
      <c r="K467" s="63"/>
      <c r="L467" s="63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63"/>
      <c r="K468" s="63"/>
      <c r="L468" s="63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63"/>
      <c r="K469" s="63"/>
      <c r="L469" s="63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63"/>
      <c r="K470" s="63"/>
      <c r="L470" s="63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63"/>
      <c r="K471" s="63"/>
      <c r="L471" s="63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63"/>
      <c r="K472" s="63"/>
      <c r="L472" s="63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63"/>
      <c r="K473" s="63"/>
      <c r="L473" s="63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63"/>
      <c r="K474" s="63"/>
      <c r="L474" s="63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63"/>
      <c r="K475" s="63"/>
      <c r="L475" s="63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63"/>
      <c r="K476" s="63"/>
      <c r="L476" s="63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63"/>
      <c r="K477" s="63"/>
      <c r="L477" s="63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63"/>
      <c r="K478" s="63"/>
      <c r="L478" s="63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63"/>
      <c r="K479" s="63"/>
      <c r="L479" s="63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63"/>
      <c r="K480" s="63"/>
      <c r="L480" s="63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63"/>
      <c r="K481" s="63"/>
      <c r="L481" s="63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63"/>
      <c r="K482" s="63"/>
      <c r="L482" s="63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63"/>
      <c r="K483" s="63"/>
      <c r="L483" s="63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63"/>
      <c r="K484" s="63"/>
      <c r="L484" s="63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63"/>
      <c r="K485" s="63"/>
      <c r="L485" s="63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63"/>
      <c r="K486" s="63"/>
      <c r="L486" s="63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63"/>
      <c r="K487" s="63"/>
      <c r="L487" s="63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63"/>
      <c r="K488" s="63"/>
      <c r="L488" s="63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63"/>
      <c r="K489" s="63"/>
      <c r="L489" s="63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63"/>
      <c r="K490" s="63"/>
      <c r="L490" s="63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63"/>
      <c r="K491" s="63"/>
      <c r="L491" s="63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63"/>
      <c r="K492" s="63"/>
      <c r="L492" s="63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63"/>
      <c r="K493" s="63"/>
      <c r="L493" s="63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63"/>
      <c r="K494" s="63"/>
      <c r="L494" s="63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63"/>
      <c r="K495" s="63"/>
      <c r="L495" s="63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63"/>
      <c r="K496" s="63"/>
      <c r="L496" s="63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63"/>
      <c r="K497" s="63"/>
      <c r="L497" s="63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63"/>
      <c r="K498" s="63"/>
      <c r="L498" s="63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63"/>
      <c r="K499" s="63"/>
      <c r="L499" s="63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63"/>
      <c r="K500" s="63"/>
      <c r="L500" s="63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63"/>
      <c r="K501" s="63"/>
      <c r="L501" s="63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63"/>
      <c r="K502" s="63"/>
      <c r="L502" s="63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63"/>
      <c r="K503" s="63"/>
      <c r="L503" s="63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63"/>
      <c r="K504" s="63"/>
      <c r="L504" s="63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63"/>
      <c r="K505" s="63"/>
      <c r="L505" s="63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63"/>
      <c r="K506" s="63"/>
      <c r="L506" s="63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63"/>
      <c r="K507" s="63"/>
      <c r="L507" s="63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63"/>
      <c r="K508" s="63"/>
      <c r="L508" s="63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63"/>
      <c r="K509" s="63"/>
      <c r="L509" s="63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63"/>
      <c r="K510" s="63"/>
      <c r="L510" s="63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63"/>
      <c r="K511" s="63"/>
      <c r="L511" s="63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63"/>
      <c r="K512" s="63"/>
      <c r="L512" s="63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63"/>
      <c r="K513" s="63"/>
      <c r="L513" s="63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63"/>
      <c r="K514" s="63"/>
      <c r="L514" s="63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63"/>
      <c r="K515" s="63"/>
      <c r="L515" s="63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63"/>
      <c r="K516" s="63"/>
      <c r="L516" s="63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63"/>
      <c r="K517" s="63"/>
      <c r="L517" s="63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63"/>
      <c r="K518" s="63"/>
      <c r="L518" s="63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63"/>
      <c r="K519" s="63"/>
      <c r="L519" s="63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63"/>
      <c r="K520" s="63"/>
      <c r="L520" s="63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63"/>
      <c r="K521" s="63"/>
      <c r="L521" s="63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63"/>
      <c r="K522" s="63"/>
      <c r="L522" s="63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63"/>
      <c r="K523" s="63"/>
      <c r="L523" s="63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63"/>
      <c r="K524" s="63"/>
      <c r="L524" s="63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63"/>
      <c r="K525" s="63"/>
      <c r="L525" s="63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63"/>
      <c r="K526" s="63"/>
      <c r="L526" s="63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63"/>
      <c r="K527" s="63"/>
      <c r="L527" s="63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63"/>
      <c r="K528" s="63"/>
      <c r="L528" s="63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63"/>
      <c r="K529" s="63"/>
      <c r="L529" s="63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63"/>
      <c r="K530" s="63"/>
      <c r="L530" s="63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63"/>
      <c r="K531" s="63"/>
      <c r="L531" s="63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63"/>
      <c r="K532" s="63"/>
      <c r="L532" s="63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63"/>
      <c r="K533" s="63"/>
      <c r="L533" s="63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63"/>
      <c r="K534" s="63"/>
      <c r="L534" s="63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63"/>
      <c r="K535" s="63"/>
      <c r="L535" s="63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63"/>
      <c r="K536" s="63"/>
      <c r="L536" s="63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63"/>
      <c r="K537" s="63"/>
      <c r="L537" s="63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63"/>
      <c r="K538" s="63"/>
      <c r="L538" s="63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63"/>
      <c r="K539" s="63"/>
      <c r="L539" s="63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63"/>
      <c r="K540" s="63"/>
      <c r="L540" s="63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63"/>
      <c r="K541" s="63"/>
      <c r="L541" s="63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63"/>
      <c r="K542" s="63"/>
      <c r="L542" s="63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63"/>
      <c r="K543" s="63"/>
      <c r="L543" s="63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63"/>
      <c r="K544" s="63"/>
      <c r="L544" s="63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63"/>
      <c r="K545" s="63"/>
      <c r="L545" s="63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63"/>
      <c r="K546" s="63"/>
      <c r="L546" s="63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63"/>
      <c r="K547" s="63"/>
      <c r="L547" s="63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63"/>
      <c r="K548" s="63"/>
      <c r="L548" s="63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63"/>
      <c r="K549" s="63"/>
      <c r="L549" s="63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63"/>
      <c r="K550" s="63"/>
      <c r="L550" s="63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63"/>
      <c r="K551" s="63"/>
      <c r="L551" s="63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63"/>
      <c r="K552" s="63"/>
      <c r="L552" s="63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63"/>
      <c r="K553" s="63"/>
      <c r="L553" s="63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63"/>
      <c r="K554" s="63"/>
      <c r="L554" s="63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63"/>
      <c r="K555" s="63"/>
      <c r="L555" s="63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63"/>
      <c r="K556" s="63"/>
      <c r="L556" s="63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63"/>
      <c r="K557" s="63"/>
      <c r="L557" s="63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63"/>
      <c r="K558" s="63"/>
      <c r="L558" s="63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63"/>
      <c r="K559" s="63"/>
      <c r="L559" s="63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63"/>
      <c r="K560" s="63"/>
      <c r="L560" s="63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63"/>
      <c r="K561" s="63"/>
      <c r="L561" s="63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63"/>
      <c r="K562" s="63"/>
      <c r="L562" s="63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63"/>
      <c r="K563" s="63"/>
      <c r="L563" s="63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63"/>
      <c r="K564" s="63"/>
      <c r="L564" s="63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63"/>
      <c r="K565" s="63"/>
      <c r="L565" s="63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63"/>
      <c r="K566" s="63"/>
      <c r="L566" s="63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63"/>
      <c r="K567" s="63"/>
      <c r="L567" s="63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63"/>
      <c r="K568" s="63"/>
      <c r="L568" s="63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63"/>
      <c r="K569" s="63"/>
      <c r="L569" s="63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63"/>
      <c r="K570" s="63"/>
      <c r="L570" s="63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63"/>
      <c r="K571" s="63"/>
      <c r="L571" s="63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63"/>
      <c r="K572" s="63"/>
      <c r="L572" s="63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63"/>
      <c r="K573" s="63"/>
      <c r="L573" s="63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63"/>
      <c r="K574" s="63"/>
      <c r="L574" s="63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63"/>
      <c r="K575" s="63"/>
      <c r="L575" s="63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63"/>
      <c r="K576" s="63"/>
      <c r="L576" s="63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63"/>
      <c r="K577" s="63"/>
      <c r="L577" s="63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63"/>
      <c r="K578" s="63"/>
      <c r="L578" s="63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63"/>
      <c r="K579" s="63"/>
      <c r="L579" s="63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63"/>
      <c r="K580" s="63"/>
      <c r="L580" s="63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63"/>
      <c r="K581" s="63"/>
      <c r="L581" s="63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63"/>
      <c r="K582" s="63"/>
      <c r="L582" s="63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63"/>
      <c r="K583" s="63"/>
      <c r="L583" s="63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63"/>
      <c r="K584" s="63"/>
      <c r="L584" s="63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63"/>
      <c r="K585" s="63"/>
      <c r="L585" s="63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63"/>
      <c r="K586" s="63"/>
      <c r="L586" s="63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63"/>
      <c r="K587" s="63"/>
      <c r="L587" s="63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63"/>
      <c r="K588" s="63"/>
      <c r="L588" s="63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63"/>
      <c r="K589" s="63"/>
      <c r="L589" s="63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63"/>
      <c r="K590" s="63"/>
      <c r="L590" s="63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63"/>
      <c r="K591" s="63"/>
      <c r="L591" s="63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63"/>
      <c r="K592" s="63"/>
      <c r="L592" s="63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63"/>
      <c r="K593" s="63"/>
      <c r="L593" s="63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63"/>
      <c r="K594" s="63"/>
      <c r="L594" s="63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63"/>
      <c r="K595" s="63"/>
      <c r="L595" s="63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63"/>
      <c r="K596" s="63"/>
      <c r="L596" s="63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63"/>
      <c r="K597" s="63"/>
      <c r="L597" s="63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63"/>
      <c r="K598" s="63"/>
      <c r="L598" s="63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63"/>
      <c r="K599" s="63"/>
      <c r="L599" s="63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63"/>
      <c r="K600" s="63"/>
      <c r="L600" s="63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63"/>
      <c r="K601" s="63"/>
      <c r="L601" s="63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63"/>
      <c r="K602" s="63"/>
      <c r="L602" s="63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63"/>
      <c r="K603" s="63"/>
      <c r="L603" s="63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63"/>
      <c r="K604" s="63"/>
      <c r="L604" s="63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63"/>
      <c r="K605" s="63"/>
      <c r="L605" s="63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63"/>
      <c r="K606" s="63"/>
      <c r="L606" s="63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63"/>
      <c r="K607" s="63"/>
      <c r="L607" s="63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63"/>
      <c r="K608" s="63"/>
      <c r="L608" s="63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63"/>
      <c r="K609" s="63"/>
      <c r="L609" s="63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63"/>
      <c r="K610" s="63"/>
      <c r="L610" s="63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63"/>
      <c r="K611" s="63"/>
      <c r="L611" s="63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63"/>
      <c r="K612" s="63"/>
      <c r="L612" s="63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63"/>
      <c r="K613" s="63"/>
      <c r="L613" s="63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63"/>
      <c r="K614" s="63"/>
      <c r="L614" s="63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63"/>
      <c r="K615" s="63"/>
      <c r="L615" s="63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63"/>
      <c r="K616" s="63"/>
      <c r="L616" s="63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63"/>
      <c r="K617" s="63"/>
      <c r="L617" s="63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63"/>
      <c r="K618" s="63"/>
      <c r="L618" s="63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63"/>
      <c r="K619" s="63"/>
      <c r="L619" s="63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63"/>
      <c r="K620" s="63"/>
      <c r="L620" s="63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63"/>
      <c r="K621" s="63"/>
      <c r="L621" s="63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63"/>
      <c r="K622" s="63"/>
      <c r="L622" s="63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63"/>
      <c r="K623" s="63"/>
      <c r="L623" s="63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63"/>
      <c r="K624" s="63"/>
      <c r="L624" s="63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63"/>
      <c r="K625" s="63"/>
      <c r="L625" s="63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63"/>
      <c r="K626" s="63"/>
      <c r="L626" s="63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63"/>
      <c r="K627" s="63"/>
      <c r="L627" s="63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63"/>
      <c r="K628" s="63"/>
      <c r="L628" s="63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63"/>
      <c r="K629" s="63"/>
      <c r="L629" s="63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63"/>
      <c r="K630" s="63"/>
      <c r="L630" s="63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63"/>
      <c r="K631" s="63"/>
      <c r="L631" s="63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63"/>
      <c r="K632" s="63"/>
      <c r="L632" s="63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63"/>
      <c r="K633" s="63"/>
      <c r="L633" s="63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63"/>
      <c r="K634" s="63"/>
      <c r="L634" s="63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63"/>
      <c r="K635" s="63"/>
      <c r="L635" s="63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63"/>
      <c r="K636" s="63"/>
      <c r="L636" s="63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63"/>
      <c r="K637" s="63"/>
      <c r="L637" s="63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63"/>
      <c r="K638" s="63"/>
      <c r="L638" s="63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63"/>
      <c r="K639" s="63"/>
      <c r="L639" s="63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63"/>
      <c r="K640" s="63"/>
      <c r="L640" s="63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63"/>
      <c r="K641" s="63"/>
      <c r="L641" s="63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63"/>
      <c r="K642" s="63"/>
      <c r="L642" s="63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63"/>
      <c r="K643" s="63"/>
      <c r="L643" s="63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63"/>
      <c r="K644" s="63"/>
      <c r="L644" s="63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63"/>
      <c r="K645" s="63"/>
      <c r="L645" s="63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63"/>
      <c r="K646" s="63"/>
      <c r="L646" s="63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63"/>
      <c r="K647" s="63"/>
      <c r="L647" s="63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63"/>
      <c r="K648" s="63"/>
      <c r="L648" s="63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63"/>
      <c r="K649" s="63"/>
      <c r="L649" s="63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63"/>
      <c r="K650" s="63"/>
      <c r="L650" s="63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63"/>
      <c r="K651" s="63"/>
      <c r="L651" s="63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63"/>
      <c r="K652" s="63"/>
      <c r="L652" s="63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63"/>
      <c r="K653" s="63"/>
      <c r="L653" s="63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63"/>
      <c r="K654" s="63"/>
      <c r="L654" s="63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63"/>
      <c r="K655" s="63"/>
      <c r="L655" s="63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63"/>
      <c r="K656" s="63"/>
      <c r="L656" s="63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63"/>
      <c r="K657" s="63"/>
      <c r="L657" s="63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63"/>
      <c r="K658" s="63"/>
      <c r="L658" s="63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63"/>
      <c r="K659" s="63"/>
      <c r="L659" s="63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63"/>
      <c r="K660" s="63"/>
      <c r="L660" s="63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63"/>
      <c r="K661" s="63"/>
      <c r="L661" s="63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63"/>
      <c r="K662" s="63"/>
      <c r="L662" s="63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63"/>
      <c r="K663" s="63"/>
      <c r="L663" s="63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63"/>
      <c r="K664" s="63"/>
      <c r="L664" s="63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63"/>
      <c r="K665" s="63"/>
      <c r="L665" s="63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63"/>
      <c r="K666" s="63"/>
      <c r="L666" s="63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63"/>
      <c r="K667" s="63"/>
      <c r="L667" s="63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63"/>
      <c r="K668" s="63"/>
      <c r="L668" s="63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63"/>
      <c r="K669" s="63"/>
      <c r="L669" s="63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63"/>
      <c r="K670" s="63"/>
      <c r="L670" s="63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63"/>
      <c r="K671" s="63"/>
      <c r="L671" s="63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63"/>
      <c r="K672" s="63"/>
      <c r="L672" s="63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63"/>
      <c r="K673" s="63"/>
      <c r="L673" s="63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63"/>
      <c r="K674" s="63"/>
      <c r="L674" s="63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63"/>
      <c r="K675" s="63"/>
      <c r="L675" s="63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63"/>
      <c r="K676" s="63"/>
      <c r="L676" s="63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63"/>
      <c r="K677" s="63"/>
      <c r="L677" s="63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63"/>
      <c r="K678" s="63"/>
      <c r="L678" s="63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63"/>
      <c r="K679" s="63"/>
      <c r="L679" s="63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63"/>
      <c r="K680" s="63"/>
      <c r="L680" s="63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63"/>
      <c r="K681" s="63"/>
      <c r="L681" s="63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63"/>
      <c r="K682" s="63"/>
      <c r="L682" s="63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63"/>
      <c r="K683" s="63"/>
      <c r="L683" s="63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63"/>
      <c r="K684" s="63"/>
      <c r="L684" s="63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63"/>
      <c r="K685" s="63"/>
      <c r="L685" s="63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63"/>
      <c r="K686" s="63"/>
      <c r="L686" s="63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63"/>
      <c r="K687" s="63"/>
      <c r="L687" s="63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63"/>
      <c r="K688" s="63"/>
      <c r="L688" s="63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63"/>
      <c r="K689" s="63"/>
      <c r="L689" s="63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63"/>
      <c r="K690" s="63"/>
      <c r="L690" s="63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63"/>
      <c r="K691" s="63"/>
      <c r="L691" s="63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63"/>
      <c r="K692" s="63"/>
      <c r="L692" s="63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63"/>
      <c r="K693" s="63"/>
      <c r="L693" s="63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63"/>
      <c r="K694" s="63"/>
      <c r="L694" s="63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63"/>
      <c r="K695" s="63"/>
      <c r="L695" s="63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63"/>
      <c r="K696" s="63"/>
      <c r="L696" s="63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63"/>
      <c r="K697" s="63"/>
      <c r="L697" s="63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63"/>
      <c r="K698" s="63"/>
      <c r="L698" s="63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63"/>
      <c r="K699" s="63"/>
      <c r="L699" s="63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63"/>
      <c r="K700" s="63"/>
      <c r="L700" s="63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63"/>
      <c r="K701" s="63"/>
      <c r="L701" s="63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63"/>
      <c r="K702" s="63"/>
      <c r="L702" s="63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63"/>
      <c r="K703" s="63"/>
      <c r="L703" s="63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63"/>
      <c r="K704" s="63"/>
      <c r="L704" s="63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63"/>
      <c r="K705" s="63"/>
      <c r="L705" s="63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63"/>
      <c r="K706" s="63"/>
      <c r="L706" s="63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63"/>
      <c r="K707" s="63"/>
      <c r="L707" s="63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63"/>
      <c r="K708" s="63"/>
      <c r="L708" s="63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63"/>
      <c r="K709" s="63"/>
      <c r="L709" s="63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63"/>
      <c r="K710" s="63"/>
      <c r="L710" s="63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63"/>
      <c r="K711" s="63"/>
      <c r="L711" s="63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63"/>
      <c r="K712" s="63"/>
      <c r="L712" s="63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63"/>
      <c r="K713" s="63"/>
      <c r="L713" s="63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63"/>
      <c r="K714" s="63"/>
      <c r="L714" s="63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63"/>
      <c r="K715" s="63"/>
      <c r="L715" s="63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63"/>
      <c r="K716" s="63"/>
      <c r="L716" s="63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63"/>
      <c r="K717" s="63"/>
      <c r="L717" s="63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63"/>
      <c r="K718" s="63"/>
      <c r="L718" s="63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63"/>
      <c r="K719" s="63"/>
      <c r="L719" s="63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63"/>
      <c r="K720" s="63"/>
      <c r="L720" s="63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63"/>
      <c r="K721" s="63"/>
      <c r="L721" s="63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63"/>
      <c r="K722" s="63"/>
      <c r="L722" s="63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63"/>
      <c r="K723" s="63"/>
      <c r="L723" s="63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63"/>
      <c r="K724" s="63"/>
      <c r="L724" s="63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63"/>
      <c r="K725" s="63"/>
      <c r="L725" s="63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63"/>
      <c r="K726" s="63"/>
      <c r="L726" s="63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63"/>
      <c r="K727" s="63"/>
      <c r="L727" s="63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63"/>
      <c r="K728" s="63"/>
      <c r="L728" s="63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63"/>
      <c r="K729" s="63"/>
      <c r="L729" s="63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63"/>
      <c r="K730" s="63"/>
      <c r="L730" s="63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63"/>
      <c r="K731" s="63"/>
      <c r="L731" s="63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63"/>
      <c r="K732" s="63"/>
      <c r="L732" s="63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63"/>
      <c r="K733" s="63"/>
      <c r="L733" s="63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63"/>
      <c r="K734" s="63"/>
      <c r="L734" s="63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63"/>
      <c r="K735" s="63"/>
      <c r="L735" s="63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63"/>
      <c r="K736" s="63"/>
      <c r="L736" s="63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63"/>
      <c r="K737" s="63"/>
      <c r="L737" s="63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63"/>
      <c r="K738" s="63"/>
      <c r="L738" s="63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63"/>
      <c r="K739" s="63"/>
      <c r="L739" s="63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63"/>
      <c r="K740" s="63"/>
      <c r="L740" s="63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63"/>
      <c r="K741" s="63"/>
      <c r="L741" s="63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63"/>
      <c r="K742" s="63"/>
      <c r="L742" s="63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63"/>
      <c r="K743" s="63"/>
      <c r="L743" s="63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63"/>
      <c r="K744" s="63"/>
      <c r="L744" s="63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63"/>
      <c r="K745" s="63"/>
      <c r="L745" s="63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63"/>
      <c r="K746" s="63"/>
      <c r="L746" s="63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63"/>
      <c r="K747" s="63"/>
      <c r="L747" s="63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63"/>
      <c r="K748" s="63"/>
      <c r="L748" s="63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63"/>
      <c r="K749" s="63"/>
      <c r="L749" s="63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63"/>
      <c r="K750" s="63"/>
      <c r="L750" s="63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63"/>
      <c r="K751" s="63"/>
      <c r="L751" s="63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63"/>
      <c r="K752" s="63"/>
      <c r="L752" s="63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63"/>
      <c r="K753" s="63"/>
      <c r="L753" s="63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63"/>
      <c r="K754" s="63"/>
      <c r="L754" s="63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63"/>
      <c r="K755" s="63"/>
      <c r="L755" s="63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63"/>
      <c r="K756" s="63"/>
      <c r="L756" s="63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63"/>
      <c r="K757" s="63"/>
      <c r="L757" s="63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63"/>
      <c r="K758" s="63"/>
      <c r="L758" s="63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63"/>
      <c r="K759" s="63"/>
      <c r="L759" s="63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63"/>
      <c r="K760" s="63"/>
      <c r="L760" s="63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63"/>
      <c r="K761" s="63"/>
      <c r="L761" s="63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63"/>
      <c r="K762" s="63"/>
      <c r="L762" s="63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63"/>
      <c r="K763" s="63"/>
      <c r="L763" s="63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63"/>
      <c r="K764" s="63"/>
      <c r="L764" s="63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63"/>
      <c r="K765" s="63"/>
      <c r="L765" s="63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63"/>
      <c r="K766" s="63"/>
      <c r="L766" s="63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63"/>
      <c r="K767" s="63"/>
      <c r="L767" s="63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63"/>
      <c r="K768" s="63"/>
      <c r="L768" s="63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63"/>
      <c r="K769" s="63"/>
      <c r="L769" s="63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63"/>
      <c r="K770" s="63"/>
      <c r="L770" s="63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63"/>
      <c r="K771" s="63"/>
      <c r="L771" s="63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63"/>
      <c r="K772" s="63"/>
      <c r="L772" s="63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63"/>
      <c r="K773" s="63"/>
      <c r="L773" s="63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63"/>
      <c r="K774" s="63"/>
      <c r="L774" s="63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63"/>
      <c r="K775" s="63"/>
      <c r="L775" s="63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63"/>
      <c r="K776" s="63"/>
      <c r="L776" s="63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63"/>
      <c r="K777" s="63"/>
      <c r="L777" s="63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63"/>
      <c r="K778" s="63"/>
      <c r="L778" s="63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63"/>
      <c r="K779" s="63"/>
      <c r="L779" s="63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63"/>
      <c r="K780" s="63"/>
      <c r="L780" s="63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63"/>
      <c r="K781" s="63"/>
      <c r="L781" s="63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63"/>
      <c r="K782" s="63"/>
      <c r="L782" s="63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63"/>
      <c r="K783" s="63"/>
      <c r="L783" s="63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63"/>
      <c r="K784" s="63"/>
      <c r="L784" s="63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63"/>
      <c r="K785" s="63"/>
      <c r="L785" s="63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63"/>
      <c r="K786" s="63"/>
      <c r="L786" s="63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63"/>
      <c r="K787" s="63"/>
      <c r="L787" s="63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63"/>
      <c r="K788" s="63"/>
      <c r="L788" s="63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63"/>
      <c r="K789" s="63"/>
      <c r="L789" s="63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63"/>
      <c r="K790" s="63"/>
      <c r="L790" s="63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63"/>
      <c r="K791" s="63"/>
      <c r="L791" s="63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63"/>
      <c r="K792" s="63"/>
      <c r="L792" s="63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63"/>
      <c r="K793" s="63"/>
      <c r="L793" s="63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63"/>
      <c r="K794" s="63"/>
      <c r="L794" s="63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63"/>
      <c r="K795" s="63"/>
      <c r="L795" s="63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63"/>
      <c r="K796" s="63"/>
      <c r="L796" s="63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63"/>
      <c r="K797" s="63"/>
      <c r="L797" s="63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63"/>
      <c r="K798" s="63"/>
      <c r="L798" s="63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63"/>
      <c r="K799" s="63"/>
      <c r="L799" s="63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63"/>
      <c r="K800" s="63"/>
      <c r="L800" s="63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63"/>
      <c r="K801" s="63"/>
      <c r="L801" s="63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63"/>
      <c r="K802" s="63"/>
      <c r="L802" s="63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63"/>
      <c r="K803" s="63"/>
      <c r="L803" s="63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63"/>
      <c r="K804" s="63"/>
      <c r="L804" s="63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63"/>
      <c r="K805" s="63"/>
      <c r="L805" s="63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63"/>
      <c r="K806" s="63"/>
      <c r="L806" s="63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63"/>
      <c r="K807" s="63"/>
      <c r="L807" s="63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63"/>
      <c r="K808" s="63"/>
      <c r="L808" s="63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63"/>
      <c r="K809" s="63"/>
      <c r="L809" s="63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63"/>
      <c r="K810" s="63"/>
      <c r="L810" s="63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63"/>
      <c r="K811" s="63"/>
      <c r="L811" s="63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63"/>
      <c r="K812" s="63"/>
      <c r="L812" s="63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63"/>
      <c r="K813" s="63"/>
      <c r="L813" s="63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63"/>
      <c r="K814" s="63"/>
      <c r="L814" s="63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63"/>
      <c r="K815" s="63"/>
      <c r="L815" s="63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63"/>
      <c r="K816" s="63"/>
      <c r="L816" s="63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63"/>
      <c r="K817" s="63"/>
      <c r="L817" s="63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63"/>
      <c r="K818" s="63"/>
      <c r="L818" s="63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63"/>
      <c r="K819" s="63"/>
      <c r="L819" s="63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63"/>
      <c r="K820" s="63"/>
      <c r="L820" s="63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63"/>
      <c r="K821" s="63"/>
      <c r="L821" s="63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63"/>
      <c r="K822" s="63"/>
      <c r="L822" s="63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63"/>
      <c r="K823" s="63"/>
      <c r="L823" s="63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63"/>
      <c r="K824" s="63"/>
      <c r="L824" s="63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63"/>
      <c r="K825" s="63"/>
      <c r="L825" s="63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63"/>
      <c r="K826" s="63"/>
      <c r="L826" s="63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63"/>
      <c r="K827" s="63"/>
      <c r="L827" s="63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63"/>
      <c r="K828" s="63"/>
      <c r="L828" s="63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63"/>
      <c r="K829" s="63"/>
      <c r="L829" s="63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63"/>
      <c r="K830" s="63"/>
      <c r="L830" s="63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63"/>
      <c r="K831" s="63"/>
      <c r="L831" s="63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63"/>
      <c r="K832" s="63"/>
      <c r="L832" s="63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63"/>
      <c r="K833" s="63"/>
      <c r="L833" s="63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63"/>
      <c r="K834" s="63"/>
      <c r="L834" s="63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63"/>
      <c r="K835" s="63"/>
      <c r="L835" s="63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63"/>
      <c r="K836" s="63"/>
      <c r="L836" s="63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63"/>
      <c r="K837" s="63"/>
      <c r="L837" s="63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63"/>
      <c r="K838" s="63"/>
      <c r="L838" s="63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63"/>
      <c r="K839" s="63"/>
      <c r="L839" s="63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63"/>
      <c r="K840" s="63"/>
      <c r="L840" s="63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63"/>
      <c r="K841" s="63"/>
      <c r="L841" s="63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63"/>
      <c r="K842" s="63"/>
      <c r="L842" s="63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63"/>
      <c r="K843" s="63"/>
      <c r="L843" s="63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63"/>
      <c r="K844" s="63"/>
      <c r="L844" s="63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63"/>
      <c r="K845" s="63"/>
      <c r="L845" s="63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63"/>
      <c r="K846" s="63"/>
      <c r="L846" s="63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63"/>
      <c r="K847" s="63"/>
      <c r="L847" s="63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63"/>
      <c r="K848" s="63"/>
      <c r="L848" s="63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63"/>
      <c r="K849" s="63"/>
      <c r="L849" s="63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63"/>
      <c r="K850" s="63"/>
      <c r="L850" s="63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63"/>
      <c r="K851" s="63"/>
      <c r="L851" s="63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63"/>
      <c r="K852" s="63"/>
      <c r="L852" s="63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63"/>
      <c r="K853" s="63"/>
      <c r="L853" s="63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63"/>
      <c r="K854" s="63"/>
      <c r="L854" s="63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63"/>
      <c r="K855" s="63"/>
      <c r="L855" s="63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63"/>
      <c r="K856" s="63"/>
      <c r="L856" s="63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63"/>
      <c r="K857" s="63"/>
      <c r="L857" s="63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63"/>
      <c r="K858" s="63"/>
      <c r="L858" s="63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63"/>
      <c r="K859" s="63"/>
      <c r="L859" s="63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63"/>
      <c r="K860" s="63"/>
      <c r="L860" s="63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63"/>
      <c r="K861" s="63"/>
      <c r="L861" s="63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63"/>
      <c r="K862" s="63"/>
      <c r="L862" s="63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63"/>
      <c r="K863" s="63"/>
      <c r="L863" s="63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63"/>
      <c r="K864" s="63"/>
      <c r="L864" s="63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63"/>
      <c r="K865" s="63"/>
      <c r="L865" s="63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63"/>
      <c r="K866" s="63"/>
      <c r="L866" s="63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63"/>
      <c r="K867" s="63"/>
      <c r="L867" s="63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63"/>
      <c r="K868" s="63"/>
      <c r="L868" s="63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63"/>
      <c r="K869" s="63"/>
      <c r="L869" s="63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63"/>
      <c r="K870" s="63"/>
      <c r="L870" s="63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63"/>
      <c r="K871" s="63"/>
      <c r="L871" s="63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63"/>
      <c r="K872" s="63"/>
      <c r="L872" s="63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63"/>
      <c r="K873" s="63"/>
      <c r="L873" s="63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63"/>
      <c r="K874" s="63"/>
      <c r="L874" s="63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63"/>
      <c r="K875" s="63"/>
      <c r="L875" s="63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63"/>
      <c r="K876" s="63"/>
      <c r="L876" s="63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63"/>
      <c r="K877" s="63"/>
      <c r="L877" s="63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63"/>
      <c r="K878" s="63"/>
      <c r="L878" s="63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63"/>
      <c r="K879" s="63"/>
      <c r="L879" s="63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63"/>
      <c r="K880" s="63"/>
      <c r="L880" s="63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63"/>
      <c r="K881" s="63"/>
      <c r="L881" s="63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63"/>
      <c r="K882" s="63"/>
      <c r="L882" s="63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63"/>
      <c r="K883" s="63"/>
      <c r="L883" s="63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63"/>
      <c r="K884" s="63"/>
      <c r="L884" s="63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63"/>
      <c r="K885" s="63"/>
      <c r="L885" s="63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63"/>
      <c r="K886" s="63"/>
      <c r="L886" s="63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63"/>
      <c r="K887" s="63"/>
      <c r="L887" s="63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63"/>
      <c r="K888" s="63"/>
      <c r="L888" s="63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63"/>
      <c r="K889" s="63"/>
      <c r="L889" s="63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63"/>
      <c r="K890" s="63"/>
      <c r="L890" s="63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63"/>
      <c r="K891" s="63"/>
      <c r="L891" s="63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63"/>
      <c r="K892" s="63"/>
      <c r="L892" s="63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63"/>
      <c r="K893" s="63"/>
      <c r="L893" s="63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63"/>
      <c r="K894" s="63"/>
      <c r="L894" s="63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63"/>
      <c r="K895" s="63"/>
      <c r="L895" s="63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63"/>
      <c r="K896" s="63"/>
      <c r="L896" s="63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63"/>
      <c r="K897" s="63"/>
      <c r="L897" s="63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63"/>
      <c r="K898" s="63"/>
      <c r="L898" s="63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63"/>
      <c r="K899" s="63"/>
      <c r="L899" s="63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63"/>
      <c r="K900" s="63"/>
      <c r="L900" s="63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63"/>
      <c r="K901" s="63"/>
      <c r="L901" s="63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63"/>
      <c r="K902" s="63"/>
      <c r="L902" s="63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63"/>
      <c r="K903" s="63"/>
      <c r="L903" s="63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63"/>
      <c r="K904" s="63"/>
      <c r="L904" s="63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63"/>
      <c r="K905" s="63"/>
      <c r="L905" s="63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63"/>
      <c r="K906" s="63"/>
      <c r="L906" s="63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63"/>
      <c r="K907" s="63"/>
      <c r="L907" s="63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63"/>
      <c r="K908" s="63"/>
      <c r="L908" s="63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63"/>
      <c r="K909" s="63"/>
      <c r="L909" s="63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63"/>
      <c r="K910" s="63"/>
      <c r="L910" s="63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63"/>
      <c r="K911" s="63"/>
      <c r="L911" s="63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63"/>
      <c r="K912" s="63"/>
      <c r="L912" s="63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63"/>
      <c r="K913" s="63"/>
      <c r="L913" s="63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63"/>
      <c r="K914" s="63"/>
      <c r="L914" s="63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63"/>
      <c r="K915" s="63"/>
      <c r="L915" s="63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63"/>
      <c r="K916" s="63"/>
      <c r="L916" s="63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63"/>
      <c r="K917" s="63"/>
      <c r="L917" s="63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63"/>
      <c r="K918" s="63"/>
      <c r="L918" s="63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63"/>
      <c r="K919" s="63"/>
      <c r="L919" s="63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63"/>
      <c r="K920" s="63"/>
      <c r="L920" s="63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63"/>
      <c r="K921" s="63"/>
      <c r="L921" s="63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63"/>
      <c r="K922" s="63"/>
      <c r="L922" s="63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63"/>
      <c r="K923" s="63"/>
      <c r="L923" s="63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63"/>
      <c r="K924" s="63"/>
      <c r="L924" s="63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63"/>
      <c r="K925" s="63"/>
      <c r="L925" s="63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63"/>
      <c r="K926" s="63"/>
      <c r="L926" s="63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63"/>
      <c r="K927" s="63"/>
      <c r="L927" s="63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63"/>
      <c r="K928" s="63"/>
      <c r="L928" s="63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63"/>
      <c r="K929" s="63"/>
      <c r="L929" s="63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63"/>
      <c r="K930" s="63"/>
      <c r="L930" s="63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63"/>
      <c r="K931" s="63"/>
      <c r="L931" s="63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63"/>
      <c r="K932" s="63"/>
      <c r="L932" s="63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63"/>
      <c r="K933" s="63"/>
      <c r="L933" s="63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63"/>
      <c r="K934" s="63"/>
      <c r="L934" s="63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63"/>
      <c r="K935" s="63"/>
      <c r="L935" s="63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63"/>
      <c r="K936" s="63"/>
      <c r="L936" s="63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63"/>
      <c r="K937" s="63"/>
      <c r="L937" s="63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63"/>
      <c r="K938" s="63"/>
      <c r="L938" s="63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63"/>
      <c r="K939" s="63"/>
      <c r="L939" s="63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63"/>
      <c r="K940" s="63"/>
      <c r="L940" s="63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63"/>
      <c r="K941" s="63"/>
      <c r="L941" s="63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63"/>
      <c r="K942" s="63"/>
      <c r="L942" s="63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63"/>
      <c r="K943" s="63"/>
      <c r="L943" s="63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63"/>
      <c r="K944" s="63"/>
      <c r="L944" s="63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63"/>
      <c r="K945" s="63"/>
      <c r="L945" s="63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63"/>
      <c r="K946" s="63"/>
      <c r="L946" s="63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63"/>
      <c r="K947" s="63"/>
      <c r="L947" s="63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63"/>
      <c r="K948" s="63"/>
      <c r="L948" s="63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63"/>
      <c r="K949" s="63"/>
      <c r="L949" s="63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63"/>
      <c r="K950" s="63"/>
      <c r="L950" s="63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63"/>
      <c r="K951" s="63"/>
      <c r="L951" s="63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63"/>
      <c r="K952" s="63"/>
      <c r="L952" s="63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63"/>
      <c r="K953" s="63"/>
      <c r="L953" s="63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63"/>
      <c r="K954" s="63"/>
      <c r="L954" s="63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63"/>
      <c r="K955" s="63"/>
      <c r="L955" s="63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63"/>
      <c r="K956" s="63"/>
      <c r="L956" s="63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63"/>
      <c r="K957" s="63"/>
      <c r="L957" s="63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63"/>
      <c r="K958" s="63"/>
      <c r="L958" s="63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63"/>
      <c r="K959" s="63"/>
      <c r="L959" s="63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63"/>
      <c r="K960" s="63"/>
      <c r="L960" s="63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63"/>
      <c r="K961" s="63"/>
      <c r="L961" s="63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63"/>
      <c r="K962" s="63"/>
      <c r="L962" s="63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63"/>
      <c r="K963" s="63"/>
      <c r="L963" s="63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63"/>
      <c r="K964" s="63"/>
      <c r="L964" s="63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63"/>
      <c r="K965" s="63"/>
      <c r="L965" s="63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63"/>
      <c r="K966" s="63"/>
      <c r="L966" s="63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63"/>
      <c r="K967" s="63"/>
      <c r="L967" s="63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63"/>
      <c r="K968" s="63"/>
      <c r="L968" s="63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63"/>
      <c r="K969" s="63"/>
      <c r="L969" s="63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63"/>
      <c r="K970" s="63"/>
      <c r="L970" s="63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63"/>
      <c r="K971" s="63"/>
      <c r="L971" s="63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63"/>
      <c r="K972" s="63"/>
      <c r="L972" s="63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63"/>
      <c r="K973" s="63"/>
      <c r="L973" s="63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63"/>
      <c r="K974" s="63"/>
      <c r="L974" s="63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63"/>
      <c r="K975" s="63"/>
      <c r="L975" s="63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63"/>
      <c r="K976" s="63"/>
      <c r="L976" s="63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63"/>
      <c r="K977" s="63"/>
      <c r="L977" s="63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63"/>
      <c r="K978" s="63"/>
      <c r="L978" s="63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63"/>
      <c r="K979" s="63"/>
      <c r="L979" s="63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63"/>
      <c r="K980" s="63"/>
      <c r="L980" s="63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63"/>
      <c r="K981" s="63"/>
      <c r="L981" s="63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63"/>
      <c r="K982" s="63"/>
      <c r="L982" s="63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63"/>
      <c r="K983" s="63"/>
      <c r="L983" s="63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63"/>
      <c r="K984" s="63"/>
      <c r="L984" s="63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63"/>
      <c r="K985" s="63"/>
      <c r="L985" s="63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63"/>
      <c r="K986" s="63"/>
      <c r="L986" s="63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63"/>
      <c r="K987" s="63"/>
      <c r="L987" s="63"/>
      <c r="M987" s="3"/>
      <c r="N987" s="3"/>
      <c r="O987" s="3"/>
      <c r="Q987" s="4"/>
      <c r="R987" s="5"/>
      <c r="S987" s="5"/>
    </row>
  </sheetData>
  <sheetProtection password="CC27" sheet="1" objects="1" scenarios="1"/>
  <mergeCells count="5">
    <mergeCell ref="B2:S2"/>
    <mergeCell ref="M3:O3"/>
    <mergeCell ref="Q3:S3"/>
    <mergeCell ref="J4:L4"/>
    <mergeCell ref="D27:K27"/>
  </mergeCells>
  <pageMargins left="0.511811024" right="0.511811024" top="0.78740157499999996" bottom="0.7874015749999999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selection activeCell="E33" sqref="E33"/>
    </sheetView>
  </sheetViews>
  <sheetFormatPr defaultColWidth="14.42578125" defaultRowHeight="15" customHeight="1"/>
  <cols>
    <col min="1" max="1" width="2.7109375" customWidth="1"/>
    <col min="2" max="2" width="7.42578125" customWidth="1"/>
    <col min="3" max="3" width="22.7109375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38.85546875" customWidth="1"/>
    <col min="9" max="9" width="25.5703125" customWidth="1"/>
    <col min="10" max="12" width="9.140625" customWidth="1"/>
    <col min="13" max="13" width="15.5703125" customWidth="1"/>
    <col min="14" max="15" width="14.42578125" customWidth="1"/>
    <col min="16" max="16" width="17" customWidth="1"/>
    <col min="17" max="17" width="16.28515625" customWidth="1"/>
    <col min="18" max="18" width="14.85546875" customWidth="1"/>
    <col min="19" max="19" width="18" customWidth="1"/>
    <col min="20" max="37" width="8.7109375" customWidth="1"/>
  </cols>
  <sheetData>
    <row r="1" spans="1:37">
      <c r="C1" s="1"/>
      <c r="I1" s="2"/>
      <c r="J1" s="63"/>
      <c r="K1" s="63"/>
      <c r="L1" s="63"/>
      <c r="M1" s="3"/>
      <c r="N1" s="3"/>
      <c r="O1" s="3"/>
      <c r="Q1" s="4"/>
      <c r="R1" s="5"/>
      <c r="S1" s="5"/>
    </row>
    <row r="2" spans="1:37" ht="18">
      <c r="B2" s="305" t="s">
        <v>175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</row>
    <row r="3" spans="1:37" ht="32.25" customHeight="1">
      <c r="A3" s="6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314" t="s">
        <v>1</v>
      </c>
      <c r="N3" s="308"/>
      <c r="O3" s="309"/>
      <c r="P3" s="65" t="s">
        <v>34</v>
      </c>
      <c r="Q3" s="315" t="s">
        <v>35</v>
      </c>
      <c r="R3" s="308"/>
      <c r="S3" s="30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5.5">
      <c r="B4" s="66" t="s">
        <v>36</v>
      </c>
      <c r="C4" s="171" t="s">
        <v>37</v>
      </c>
      <c r="D4" s="172" t="s">
        <v>38</v>
      </c>
      <c r="E4" s="66" t="s">
        <v>39</v>
      </c>
      <c r="F4" s="66" t="s">
        <v>40</v>
      </c>
      <c r="G4" s="138" t="s">
        <v>41</v>
      </c>
      <c r="H4" s="66" t="s">
        <v>42</v>
      </c>
      <c r="I4" s="173" t="s">
        <v>43</v>
      </c>
      <c r="J4" s="319" t="s">
        <v>44</v>
      </c>
      <c r="K4" s="308"/>
      <c r="L4" s="309"/>
      <c r="M4" s="140" t="s">
        <v>5</v>
      </c>
      <c r="N4" s="141" t="s">
        <v>6</v>
      </c>
      <c r="O4" s="142" t="s">
        <v>7</v>
      </c>
      <c r="P4" s="142" t="s">
        <v>5</v>
      </c>
      <c r="Q4" s="143" t="s">
        <v>9</v>
      </c>
      <c r="R4" s="144" t="s">
        <v>10</v>
      </c>
      <c r="S4" s="145" t="s">
        <v>46</v>
      </c>
    </row>
    <row r="5" spans="1:37">
      <c r="A5" s="21"/>
      <c r="B5" s="75">
        <v>1</v>
      </c>
      <c r="C5" s="76" t="s">
        <v>176</v>
      </c>
      <c r="D5" s="84" t="s">
        <v>147</v>
      </c>
      <c r="E5" s="174" t="s">
        <v>902</v>
      </c>
      <c r="F5" s="84" t="s">
        <v>177</v>
      </c>
      <c r="G5" s="82" t="s">
        <v>178</v>
      </c>
      <c r="H5" s="84" t="str">
        <f t="shared" ref="H5:H32" si="0">UPPER(G5)</f>
        <v>REUNIÃO DO CONSELHO DIRETOR.</v>
      </c>
      <c r="I5" s="82" t="s">
        <v>179</v>
      </c>
      <c r="J5" s="150">
        <v>43525</v>
      </c>
      <c r="K5" s="84">
        <v>18</v>
      </c>
      <c r="L5" s="84">
        <v>18</v>
      </c>
      <c r="M5" s="274">
        <v>0</v>
      </c>
      <c r="N5" s="274">
        <v>0</v>
      </c>
      <c r="O5" s="274"/>
      <c r="P5" s="275">
        <v>0</v>
      </c>
      <c r="Q5" s="276">
        <f>483.05+756.98</f>
        <v>1240.03</v>
      </c>
      <c r="R5" s="277">
        <v>0</v>
      </c>
      <c r="S5" s="85">
        <f t="shared" ref="S5:S32" si="1">M5+N5+O5+P5+Q5+R5</f>
        <v>1240.03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15" customHeight="1">
      <c r="A6" s="21"/>
      <c r="B6" s="86">
        <v>2</v>
      </c>
      <c r="C6" s="97" t="s">
        <v>180</v>
      </c>
      <c r="D6" s="95" t="s">
        <v>48</v>
      </c>
      <c r="E6" s="89" t="s">
        <v>903</v>
      </c>
      <c r="F6" s="95" t="s">
        <v>177</v>
      </c>
      <c r="G6" s="93" t="s">
        <v>178</v>
      </c>
      <c r="H6" s="95" t="str">
        <f t="shared" si="0"/>
        <v>REUNIÃO DO CONSELHO DIRETOR.</v>
      </c>
      <c r="I6" s="93" t="s">
        <v>52</v>
      </c>
      <c r="J6" s="103">
        <v>43525</v>
      </c>
      <c r="K6" s="95">
        <v>18</v>
      </c>
      <c r="L6" s="95">
        <v>18</v>
      </c>
      <c r="M6" s="279">
        <v>0</v>
      </c>
      <c r="N6" s="279">
        <v>0</v>
      </c>
      <c r="O6" s="279"/>
      <c r="P6" s="280">
        <v>0</v>
      </c>
      <c r="Q6" s="281">
        <v>1575.37</v>
      </c>
      <c r="R6" s="282">
        <v>0</v>
      </c>
      <c r="S6" s="96">
        <f t="shared" si="1"/>
        <v>1575.37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>
      <c r="A7" s="21"/>
      <c r="B7" s="86">
        <v>3</v>
      </c>
      <c r="C7" s="97" t="s">
        <v>181</v>
      </c>
      <c r="D7" s="95" t="s">
        <v>62</v>
      </c>
      <c r="E7" s="175" t="s">
        <v>904</v>
      </c>
      <c r="F7" s="95" t="s">
        <v>57</v>
      </c>
      <c r="G7" s="102" t="s">
        <v>182</v>
      </c>
      <c r="H7" s="95" t="str">
        <f t="shared" si="0"/>
        <v>REUNIÃO DO CONSELHO FISCAL</v>
      </c>
      <c r="I7" s="93" t="s">
        <v>52</v>
      </c>
      <c r="J7" s="103">
        <v>43526</v>
      </c>
      <c r="K7" s="95">
        <v>17</v>
      </c>
      <c r="L7" s="95">
        <v>18</v>
      </c>
      <c r="M7" s="279">
        <v>0</v>
      </c>
      <c r="N7" s="279">
        <v>0</v>
      </c>
      <c r="O7" s="279"/>
      <c r="P7" s="280">
        <v>0</v>
      </c>
      <c r="Q7" s="281">
        <v>1269.3699999999999</v>
      </c>
      <c r="R7" s="282">
        <v>236.5</v>
      </c>
      <c r="S7" s="96">
        <f t="shared" si="1"/>
        <v>1505.87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>
      <c r="A8" s="21"/>
      <c r="B8" s="86">
        <v>4</v>
      </c>
      <c r="C8" s="97" t="s">
        <v>183</v>
      </c>
      <c r="D8" s="95" t="s">
        <v>56</v>
      </c>
      <c r="E8" s="89" t="s">
        <v>905</v>
      </c>
      <c r="F8" s="95" t="s">
        <v>57</v>
      </c>
      <c r="G8" s="102" t="s">
        <v>184</v>
      </c>
      <c r="H8" s="95" t="str">
        <f t="shared" si="0"/>
        <v>REUNIÃO DO CONSELHO FISCAL.</v>
      </c>
      <c r="I8" s="93" t="s">
        <v>52</v>
      </c>
      <c r="J8" s="103">
        <v>43527</v>
      </c>
      <c r="K8" s="95">
        <v>17</v>
      </c>
      <c r="L8" s="95">
        <v>18</v>
      </c>
      <c r="M8" s="279">
        <v>0</v>
      </c>
      <c r="N8" s="279">
        <v>97</v>
      </c>
      <c r="O8" s="279"/>
      <c r="P8" s="280">
        <v>36.4</v>
      </c>
      <c r="Q8" s="281">
        <v>1269.3699999999999</v>
      </c>
      <c r="R8" s="282">
        <f t="shared" ref="R8:R9" si="2">236.5+74.15</f>
        <v>310.64999999999998</v>
      </c>
      <c r="S8" s="96">
        <f t="shared" si="1"/>
        <v>1713.42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>
      <c r="A9" s="21"/>
      <c r="B9" s="86">
        <v>5</v>
      </c>
      <c r="C9" s="97" t="s">
        <v>185</v>
      </c>
      <c r="D9" s="95" t="s">
        <v>60</v>
      </c>
      <c r="E9" s="89" t="s">
        <v>906</v>
      </c>
      <c r="F9" s="95" t="s">
        <v>57</v>
      </c>
      <c r="G9" s="176" t="s">
        <v>186</v>
      </c>
      <c r="H9" s="95" t="str">
        <f t="shared" si="0"/>
        <v>SEM ASSINATURA</v>
      </c>
      <c r="I9" s="93" t="s">
        <v>52</v>
      </c>
      <c r="J9" s="103">
        <v>43528</v>
      </c>
      <c r="K9" s="95">
        <v>17</v>
      </c>
      <c r="L9" s="95">
        <v>18</v>
      </c>
      <c r="M9" s="279">
        <v>0</v>
      </c>
      <c r="N9" s="279">
        <v>131.80000000000001</v>
      </c>
      <c r="O9" s="279"/>
      <c r="P9" s="280">
        <v>71.069999999999993</v>
      </c>
      <c r="Q9" s="281">
        <v>1269.3699999999999</v>
      </c>
      <c r="R9" s="282">
        <f t="shared" si="2"/>
        <v>310.64999999999998</v>
      </c>
      <c r="S9" s="96">
        <f t="shared" si="1"/>
        <v>1782.8899999999999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27.75" customHeight="1">
      <c r="A10" s="21"/>
      <c r="B10" s="86">
        <v>6</v>
      </c>
      <c r="C10" s="87" t="s">
        <v>187</v>
      </c>
      <c r="D10" s="95" t="s">
        <v>188</v>
      </c>
      <c r="E10" s="89" t="s">
        <v>907</v>
      </c>
      <c r="F10" s="102" t="s">
        <v>85</v>
      </c>
      <c r="G10" s="158" t="s">
        <v>189</v>
      </c>
      <c r="H10" s="93" t="str">
        <f t="shared" si="0"/>
        <v>REUNIÃO COM O SECRETÁRIO-EXECUTIVO LUIZ ANTONIO TOZI.</v>
      </c>
      <c r="I10" s="93" t="s">
        <v>190</v>
      </c>
      <c r="J10" s="103">
        <v>43528</v>
      </c>
      <c r="K10" s="95">
        <v>13</v>
      </c>
      <c r="L10" s="95">
        <v>13</v>
      </c>
      <c r="M10" s="292">
        <v>0</v>
      </c>
      <c r="N10" s="292">
        <v>0</v>
      </c>
      <c r="O10" s="279"/>
      <c r="P10" s="280">
        <v>0</v>
      </c>
      <c r="Q10" s="281">
        <f>1086.37</f>
        <v>1086.3699999999999</v>
      </c>
      <c r="R10" s="282">
        <v>0</v>
      </c>
      <c r="S10" s="96">
        <f t="shared" si="1"/>
        <v>1086.3699999999999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25.5" customHeight="1">
      <c r="A11" s="21"/>
      <c r="B11" s="86">
        <v>7</v>
      </c>
      <c r="C11" s="87" t="s">
        <v>191</v>
      </c>
      <c r="D11" s="95" t="s">
        <v>192</v>
      </c>
      <c r="E11" s="89" t="s">
        <v>908</v>
      </c>
      <c r="F11" s="102" t="s">
        <v>193</v>
      </c>
      <c r="G11" s="151" t="s">
        <v>194</v>
      </c>
      <c r="H11" s="93" t="str">
        <f t="shared" si="0"/>
        <v>AUDIÊNCIA NO TRIBUNAL DE CONTAS DA UNIÃO (TCU),</v>
      </c>
      <c r="I11" s="93" t="s">
        <v>190</v>
      </c>
      <c r="J11" s="103">
        <v>43529</v>
      </c>
      <c r="K11" s="95">
        <v>14</v>
      </c>
      <c r="L11" s="95">
        <v>14</v>
      </c>
      <c r="M11" s="279">
        <v>0</v>
      </c>
      <c r="N11" s="279">
        <v>0</v>
      </c>
      <c r="O11" s="279"/>
      <c r="P11" s="280">
        <f>46.5+49.69</f>
        <v>96.19</v>
      </c>
      <c r="Q11" s="281">
        <v>1241.3699999999999</v>
      </c>
      <c r="R11" s="282">
        <v>0</v>
      </c>
      <c r="S11" s="96">
        <f t="shared" si="1"/>
        <v>1337.56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23.25">
      <c r="A12" s="21"/>
      <c r="B12" s="86">
        <v>8</v>
      </c>
      <c r="C12" s="87" t="s">
        <v>195</v>
      </c>
      <c r="D12" s="95" t="s">
        <v>196</v>
      </c>
      <c r="E12" s="89" t="s">
        <v>909</v>
      </c>
      <c r="F12" s="102" t="s">
        <v>197</v>
      </c>
      <c r="G12" s="102" t="s">
        <v>194</v>
      </c>
      <c r="H12" s="93" t="str">
        <f t="shared" si="0"/>
        <v>AUDIÊNCIA NO TRIBUNAL DE CONTAS DA UNIÃO (TCU),</v>
      </c>
      <c r="I12" s="93" t="s">
        <v>190</v>
      </c>
      <c r="J12" s="103">
        <v>43529</v>
      </c>
      <c r="K12" s="95">
        <v>14</v>
      </c>
      <c r="L12" s="95">
        <v>14</v>
      </c>
      <c r="M12" s="279">
        <v>0</v>
      </c>
      <c r="N12" s="279">
        <v>36.31</v>
      </c>
      <c r="O12" s="279"/>
      <c r="P12" s="280">
        <f>76.42+47.87+83</f>
        <v>207.29</v>
      </c>
      <c r="Q12" s="281">
        <v>1241.3699999999999</v>
      </c>
      <c r="R12" s="282">
        <v>0</v>
      </c>
      <c r="S12" s="96">
        <f t="shared" si="1"/>
        <v>1484.9699999999998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34.5">
      <c r="A13" s="21"/>
      <c r="B13" s="86">
        <v>9</v>
      </c>
      <c r="C13" s="87" t="s">
        <v>198</v>
      </c>
      <c r="D13" s="95" t="s">
        <v>199</v>
      </c>
      <c r="E13" s="89" t="s">
        <v>910</v>
      </c>
      <c r="F13" s="102" t="s">
        <v>201</v>
      </c>
      <c r="G13" s="151" t="s">
        <v>202</v>
      </c>
      <c r="H13" s="93" t="str">
        <f t="shared" si="0"/>
        <v>MINISTRAR TREINAMENTO AGHUSE - HOSPITAL EXÉRCITO - MÓDULO SESSÕES TERAPÊUTICAS - QUIMIOTERAPIA</v>
      </c>
      <c r="I13" s="95" t="s">
        <v>72</v>
      </c>
      <c r="J13" s="103">
        <v>43525</v>
      </c>
      <c r="K13" s="95">
        <v>13</v>
      </c>
      <c r="L13" s="177">
        <v>15</v>
      </c>
      <c r="M13" s="279">
        <v>74.97</v>
      </c>
      <c r="N13" s="279">
        <v>0</v>
      </c>
      <c r="O13" s="279"/>
      <c r="P13" s="280">
        <v>0</v>
      </c>
      <c r="Q13" s="281">
        <v>1452.37</v>
      </c>
      <c r="R13" s="282">
        <f>556.6+135.3</f>
        <v>691.90000000000009</v>
      </c>
      <c r="S13" s="96">
        <f t="shared" si="1"/>
        <v>2219.2399999999998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56.25" customHeight="1">
      <c r="A14" s="21"/>
      <c r="B14" s="86">
        <v>10</v>
      </c>
      <c r="C14" s="87" t="s">
        <v>203</v>
      </c>
      <c r="D14" s="95" t="s">
        <v>204</v>
      </c>
      <c r="E14" s="89" t="s">
        <v>911</v>
      </c>
      <c r="F14" s="102" t="s">
        <v>205</v>
      </c>
      <c r="G14" s="151" t="s">
        <v>206</v>
      </c>
      <c r="H14" s="93" t="str">
        <f t="shared" si="0"/>
        <v>CURSO DE APERFEIÇOAMENTO: IMMUNOHISTOCHEMISTRY, MOLECULAR PATHOLOGY AND HISTOPATHOLOGY FOR THE DIAGNOSIS OF INFECTIOUS DISEASES, NA MODALIDADE PRESENCIAL. </v>
      </c>
      <c r="I14" s="95" t="s">
        <v>207</v>
      </c>
      <c r="J14" s="103">
        <v>43525</v>
      </c>
      <c r="K14" s="95">
        <v>11</v>
      </c>
      <c r="L14" s="95">
        <v>15</v>
      </c>
      <c r="M14" s="279">
        <v>271.54000000000002</v>
      </c>
      <c r="N14" s="279">
        <v>138.1</v>
      </c>
      <c r="O14" s="279"/>
      <c r="P14" s="280">
        <v>0</v>
      </c>
      <c r="Q14" s="281">
        <v>2341.83</v>
      </c>
      <c r="R14" s="282">
        <f>1161.48+311.4</f>
        <v>1472.88</v>
      </c>
      <c r="S14" s="96">
        <f t="shared" si="1"/>
        <v>4224.3500000000004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ht="23.25">
      <c r="A15" s="21"/>
      <c r="B15" s="86">
        <v>11</v>
      </c>
      <c r="C15" s="87" t="s">
        <v>208</v>
      </c>
      <c r="D15" s="95" t="s">
        <v>209</v>
      </c>
      <c r="E15" s="89" t="s">
        <v>912</v>
      </c>
      <c r="F15" s="102" t="s">
        <v>210</v>
      </c>
      <c r="G15" s="178" t="s">
        <v>211</v>
      </c>
      <c r="H15" s="93" t="str">
        <f t="shared" si="0"/>
        <v>PARTICIPAÇÃO NO 14º CONGRESSO BRASILEIRO DE PREGOEIROS</v>
      </c>
      <c r="I15" s="95" t="s">
        <v>212</v>
      </c>
      <c r="J15" s="103">
        <v>43525</v>
      </c>
      <c r="K15" s="95">
        <v>18</v>
      </c>
      <c r="L15" s="95">
        <v>22</v>
      </c>
      <c r="M15" s="279">
        <v>149.72999999999999</v>
      </c>
      <c r="N15" s="279">
        <v>48</v>
      </c>
      <c r="O15" s="279"/>
      <c r="P15" s="280">
        <v>0</v>
      </c>
      <c r="Q15" s="281">
        <f>678.98+762.85</f>
        <v>1441.83</v>
      </c>
      <c r="R15" s="282">
        <v>1020</v>
      </c>
      <c r="S15" s="96">
        <f t="shared" si="1"/>
        <v>2659.56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25.5" customHeight="1">
      <c r="A16" s="21"/>
      <c r="B16" s="86">
        <v>12</v>
      </c>
      <c r="C16" s="87" t="s">
        <v>213</v>
      </c>
      <c r="D16" s="95" t="s">
        <v>119</v>
      </c>
      <c r="E16" s="89" t="s">
        <v>913</v>
      </c>
      <c r="F16" s="102" t="s">
        <v>214</v>
      </c>
      <c r="G16" s="151" t="s">
        <v>215</v>
      </c>
      <c r="H16" s="93" t="str">
        <f t="shared" si="0"/>
        <v>MINISTRAR TREINAMENTO AGHUSE -  MÓDULO INTERNAÇÃO E EMERGÊNCIA - MÉDICO - SESAB</v>
      </c>
      <c r="I16" s="95" t="s">
        <v>93</v>
      </c>
      <c r="J16" s="103">
        <v>43525</v>
      </c>
      <c r="K16" s="95">
        <v>10</v>
      </c>
      <c r="L16" s="177">
        <v>12</v>
      </c>
      <c r="M16" s="279">
        <v>166</v>
      </c>
      <c r="N16" s="279">
        <v>51.9</v>
      </c>
      <c r="O16" s="279"/>
      <c r="P16" s="280">
        <v>0</v>
      </c>
      <c r="Q16" s="281">
        <v>2251.96</v>
      </c>
      <c r="R16" s="282">
        <f>533.4+146</f>
        <v>679.4</v>
      </c>
      <c r="S16" s="96">
        <f t="shared" si="1"/>
        <v>3149.26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23.25">
      <c r="A17" s="21"/>
      <c r="B17" s="86">
        <v>13</v>
      </c>
      <c r="C17" s="87" t="s">
        <v>216</v>
      </c>
      <c r="D17" s="95" t="s">
        <v>115</v>
      </c>
      <c r="E17" s="155" t="s">
        <v>914</v>
      </c>
      <c r="F17" s="102" t="s">
        <v>217</v>
      </c>
      <c r="G17" s="158" t="s">
        <v>218</v>
      </c>
      <c r="H17" s="93" t="str">
        <f t="shared" si="0"/>
        <v>IMPLANTAÇÃO AGHUSE - HOSPITAL MILITAR DO EXÉRCITO - MÓDULO CIRURGIAS.</v>
      </c>
      <c r="I17" s="95" t="s">
        <v>72</v>
      </c>
      <c r="J17" s="103">
        <v>43525</v>
      </c>
      <c r="K17" s="95">
        <v>18</v>
      </c>
      <c r="L17" s="95">
        <v>20</v>
      </c>
      <c r="M17" s="279">
        <v>141.9</v>
      </c>
      <c r="N17" s="279">
        <v>90.85</v>
      </c>
      <c r="O17" s="279"/>
      <c r="P17" s="280">
        <v>0</v>
      </c>
      <c r="Q17" s="281">
        <v>2130.37</v>
      </c>
      <c r="R17" s="282">
        <f>595.7+104.94</f>
        <v>700.6400000000001</v>
      </c>
      <c r="S17" s="96">
        <f t="shared" si="1"/>
        <v>3063.76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35.25" customHeight="1">
      <c r="A18" s="21"/>
      <c r="B18" s="86">
        <v>14</v>
      </c>
      <c r="C18" s="87" t="s">
        <v>219</v>
      </c>
      <c r="D18" s="95" t="s">
        <v>220</v>
      </c>
      <c r="E18" s="155" t="s">
        <v>915</v>
      </c>
      <c r="F18" s="102" t="s">
        <v>221</v>
      </c>
      <c r="G18" s="151" t="s">
        <v>222</v>
      </c>
      <c r="H18" s="93" t="str">
        <f t="shared" si="0"/>
        <v>APIO À IMPLANTAÇÃO DO MÓDULO DE CIRURGIAS DO AGHUSE NO HOSPITAL MILITAR DO EXÉRCITO DE ÁREA DE BRASÍLIA</v>
      </c>
      <c r="I18" s="95" t="s">
        <v>72</v>
      </c>
      <c r="J18" s="103">
        <v>43525</v>
      </c>
      <c r="K18" s="95">
        <v>18</v>
      </c>
      <c r="L18" s="95">
        <v>20</v>
      </c>
      <c r="M18" s="279">
        <v>163.63999999999999</v>
      </c>
      <c r="N18" s="279">
        <v>186.44</v>
      </c>
      <c r="O18" s="279"/>
      <c r="P18" s="280">
        <v>0</v>
      </c>
      <c r="Q18" s="281">
        <v>2130.37</v>
      </c>
      <c r="R18" s="282">
        <f>595.7+99.2</f>
        <v>694.90000000000009</v>
      </c>
      <c r="S18" s="96">
        <f t="shared" si="1"/>
        <v>3175.35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26.25" customHeight="1">
      <c r="A19" s="21"/>
      <c r="B19" s="86">
        <v>15</v>
      </c>
      <c r="C19" s="87" t="s">
        <v>223</v>
      </c>
      <c r="D19" s="95" t="s">
        <v>224</v>
      </c>
      <c r="E19" s="155" t="s">
        <v>916</v>
      </c>
      <c r="F19" s="102" t="s">
        <v>225</v>
      </c>
      <c r="G19" s="151" t="s">
        <v>226</v>
      </c>
      <c r="H19" s="93" t="str">
        <f t="shared" si="0"/>
        <v>MINISTRAR TREINAMENTO AGHUSE - MÓDULO FARMÁCIA - CADASTRO DE MEDICAMENTOS - SESAB</v>
      </c>
      <c r="I19" s="95" t="s">
        <v>93</v>
      </c>
      <c r="J19" s="103">
        <v>43525</v>
      </c>
      <c r="K19" s="95">
        <v>24</v>
      </c>
      <c r="L19" s="177">
        <v>26</v>
      </c>
      <c r="M19" s="279">
        <v>181.12</v>
      </c>
      <c r="N19" s="279">
        <v>37.18</v>
      </c>
      <c r="O19" s="279"/>
      <c r="P19" s="280">
        <v>0</v>
      </c>
      <c r="Q19" s="281">
        <f>815.08+837.98</f>
        <v>1653.06</v>
      </c>
      <c r="R19" s="282">
        <f>533.4+157</f>
        <v>690.4</v>
      </c>
      <c r="S19" s="96">
        <f t="shared" si="1"/>
        <v>2561.7599999999998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25.5" customHeight="1">
      <c r="A20" s="21"/>
      <c r="B20" s="86">
        <v>16</v>
      </c>
      <c r="C20" s="87" t="s">
        <v>227</v>
      </c>
      <c r="D20" s="93" t="s">
        <v>228</v>
      </c>
      <c r="E20" s="89" t="s">
        <v>917</v>
      </c>
      <c r="F20" s="102" t="s">
        <v>230</v>
      </c>
      <c r="G20" s="158" t="s">
        <v>231</v>
      </c>
      <c r="H20" s="93" t="str">
        <f t="shared" si="0"/>
        <v>MINISTRAR TREINAMENTO AGHUSE - H M EXÉRCITO - MÓDULO SESSÕES TERAPÊUTICAS</v>
      </c>
      <c r="I20" s="95" t="s">
        <v>72</v>
      </c>
      <c r="J20" s="103">
        <v>43525</v>
      </c>
      <c r="K20" s="95">
        <v>25</v>
      </c>
      <c r="L20" s="95">
        <v>29</v>
      </c>
      <c r="M20" s="279">
        <v>48.7</v>
      </c>
      <c r="N20" s="279">
        <v>224.82</v>
      </c>
      <c r="O20" s="279"/>
      <c r="P20" s="280">
        <v>0</v>
      </c>
      <c r="Q20" s="281">
        <f t="shared" ref="Q20:Q22" si="3">1225.98+820.39</f>
        <v>2046.37</v>
      </c>
      <c r="R20" s="282">
        <f>1150.6+242</f>
        <v>1392.6</v>
      </c>
      <c r="S20" s="96">
        <f t="shared" si="1"/>
        <v>3712.49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ht="15.75" customHeight="1">
      <c r="A21" s="21"/>
      <c r="B21" s="86">
        <v>17</v>
      </c>
      <c r="C21" s="87" t="s">
        <v>232</v>
      </c>
      <c r="D21" s="93" t="s">
        <v>199</v>
      </c>
      <c r="E21" s="89" t="s">
        <v>910</v>
      </c>
      <c r="F21" s="102" t="s">
        <v>233</v>
      </c>
      <c r="G21" s="151" t="s">
        <v>234</v>
      </c>
      <c r="H21" s="93" t="str">
        <f t="shared" si="0"/>
        <v>IMPLANTAÇÃO AGHUSE - MÓDULO SESSÕES TERAPÊUTICAS</v>
      </c>
      <c r="I21" s="95" t="s">
        <v>72</v>
      </c>
      <c r="J21" s="103">
        <v>43525</v>
      </c>
      <c r="K21" s="95">
        <v>25</v>
      </c>
      <c r="L21" s="95">
        <v>29</v>
      </c>
      <c r="M21" s="279">
        <v>183.22</v>
      </c>
      <c r="N21" s="279">
        <v>130.08000000000001</v>
      </c>
      <c r="O21" s="279"/>
      <c r="P21" s="280">
        <v>0</v>
      </c>
      <c r="Q21" s="281">
        <f t="shared" si="3"/>
        <v>2046.37</v>
      </c>
      <c r="R21" s="282">
        <f>1150.6+352</f>
        <v>1502.6</v>
      </c>
      <c r="S21" s="96">
        <f t="shared" si="1"/>
        <v>3862.27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ht="15.75" customHeight="1">
      <c r="A22" s="21"/>
      <c r="B22" s="86">
        <v>18</v>
      </c>
      <c r="C22" s="87" t="s">
        <v>235</v>
      </c>
      <c r="D22" s="93" t="s">
        <v>236</v>
      </c>
      <c r="E22" s="89" t="s">
        <v>918</v>
      </c>
      <c r="F22" s="102" t="s">
        <v>237</v>
      </c>
      <c r="G22" s="102" t="s">
        <v>231</v>
      </c>
      <c r="H22" s="93" t="str">
        <f t="shared" si="0"/>
        <v>MINISTRAR TREINAMENTO AGHUSE - H M EXÉRCITO - MÓDULO SESSÕES TERAPÊUTICAS</v>
      </c>
      <c r="I22" s="95" t="s">
        <v>72</v>
      </c>
      <c r="J22" s="103">
        <v>43525</v>
      </c>
      <c r="K22" s="95">
        <v>25</v>
      </c>
      <c r="L22" s="95">
        <v>29</v>
      </c>
      <c r="M22" s="279">
        <v>53</v>
      </c>
      <c r="N22" s="279">
        <v>363.2</v>
      </c>
      <c r="O22" s="279"/>
      <c r="P22" s="280">
        <v>0</v>
      </c>
      <c r="Q22" s="281">
        <f t="shared" si="3"/>
        <v>2046.37</v>
      </c>
      <c r="R22" s="282">
        <f>1150.6+290.4</f>
        <v>1441</v>
      </c>
      <c r="S22" s="96">
        <f t="shared" si="1"/>
        <v>3903.5699999999997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ht="36.75" customHeight="1">
      <c r="A23" s="21"/>
      <c r="B23" s="86">
        <v>19</v>
      </c>
      <c r="C23" s="87" t="s">
        <v>238</v>
      </c>
      <c r="D23" s="95" t="s">
        <v>239</v>
      </c>
      <c r="E23" s="89" t="s">
        <v>907</v>
      </c>
      <c r="F23" s="102" t="s">
        <v>85</v>
      </c>
      <c r="G23" s="158" t="s">
        <v>240</v>
      </c>
      <c r="H23" s="93" t="str">
        <f t="shared" si="0"/>
        <v>PARA PARTICIPAR DE UMA REUNIÃO COM O SECRETÁRIO DE COORDENAÇÃO E GOVERNANÇA DAS EMPRESAS ESTATAIS (SEST/SEDD/ME) .</v>
      </c>
      <c r="I23" s="95" t="s">
        <v>72</v>
      </c>
      <c r="J23" s="179">
        <v>43556</v>
      </c>
      <c r="K23" s="180">
        <v>4</v>
      </c>
      <c r="L23" s="180">
        <v>4</v>
      </c>
      <c r="M23" s="279">
        <v>0</v>
      </c>
      <c r="N23" s="279">
        <v>0</v>
      </c>
      <c r="O23" s="279"/>
      <c r="P23" s="280">
        <v>0</v>
      </c>
      <c r="Q23" s="281">
        <v>1026.3699999999999</v>
      </c>
      <c r="R23" s="282">
        <v>500</v>
      </c>
      <c r="S23" s="96">
        <f t="shared" si="1"/>
        <v>1526.37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ht="15.75" customHeight="1">
      <c r="A24" s="21"/>
      <c r="B24" s="86">
        <v>20</v>
      </c>
      <c r="C24" s="87" t="s">
        <v>241</v>
      </c>
      <c r="D24" s="95" t="s">
        <v>242</v>
      </c>
      <c r="E24" s="89" t="s">
        <v>919</v>
      </c>
      <c r="F24" s="102" t="s">
        <v>243</v>
      </c>
      <c r="G24" s="181" t="s">
        <v>244</v>
      </c>
      <c r="H24" s="95" t="str">
        <f t="shared" si="0"/>
        <v>REUNIÃO NO MINISTÉRIO DA ECONOMIA - SEST.</v>
      </c>
      <c r="I24" s="95" t="s">
        <v>72</v>
      </c>
      <c r="J24" s="179">
        <v>43556</v>
      </c>
      <c r="K24" s="180">
        <v>4</v>
      </c>
      <c r="L24" s="180">
        <v>4</v>
      </c>
      <c r="M24" s="279">
        <v>85</v>
      </c>
      <c r="N24" s="279">
        <v>31.5</v>
      </c>
      <c r="O24" s="279"/>
      <c r="P24" s="280">
        <v>0</v>
      </c>
      <c r="Q24" s="281">
        <v>1024.3699999999999</v>
      </c>
      <c r="R24" s="282">
        <v>0</v>
      </c>
      <c r="S24" s="96">
        <f t="shared" si="1"/>
        <v>1140.8699999999999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ht="15.75" customHeight="1">
      <c r="A25" s="21"/>
      <c r="B25" s="86">
        <v>21</v>
      </c>
      <c r="C25" s="87" t="s">
        <v>245</v>
      </c>
      <c r="D25" s="95" t="s">
        <v>246</v>
      </c>
      <c r="E25" s="89" t="s">
        <v>920</v>
      </c>
      <c r="F25" s="93" t="s">
        <v>247</v>
      </c>
      <c r="G25" s="181" t="s">
        <v>244</v>
      </c>
      <c r="H25" s="95" t="str">
        <f t="shared" si="0"/>
        <v>REUNIÃO NO MINISTÉRIO DA ECONOMIA - SEST.</v>
      </c>
      <c r="I25" s="95" t="s">
        <v>72</v>
      </c>
      <c r="J25" s="179">
        <v>43556</v>
      </c>
      <c r="K25" s="180">
        <v>4</v>
      </c>
      <c r="L25" s="180">
        <v>4</v>
      </c>
      <c r="M25" s="279">
        <v>35</v>
      </c>
      <c r="N25" s="279">
        <v>0</v>
      </c>
      <c r="O25" s="279"/>
      <c r="P25" s="280">
        <v>29</v>
      </c>
      <c r="Q25" s="281">
        <v>1024.3699999999999</v>
      </c>
      <c r="R25" s="282">
        <v>0</v>
      </c>
      <c r="S25" s="96">
        <f t="shared" si="1"/>
        <v>1088.3699999999999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ht="15.75" customHeight="1">
      <c r="A26" s="21"/>
      <c r="B26" s="86">
        <v>22</v>
      </c>
      <c r="C26" s="87" t="s">
        <v>248</v>
      </c>
      <c r="D26" s="95" t="s">
        <v>249</v>
      </c>
      <c r="E26" s="89" t="s">
        <v>921</v>
      </c>
      <c r="F26" s="102" t="s">
        <v>251</v>
      </c>
      <c r="G26" s="151" t="s">
        <v>252</v>
      </c>
      <c r="H26" s="93" t="str">
        <f t="shared" si="0"/>
        <v>TRABALHO DE ASSESSORIA A COORDENAÇÃO DE CONTABILIDADE DA EBSERH.</v>
      </c>
      <c r="I26" s="95" t="s">
        <v>72</v>
      </c>
      <c r="J26" s="179">
        <v>43557</v>
      </c>
      <c r="K26" s="180">
        <v>8</v>
      </c>
      <c r="L26" s="180">
        <v>11</v>
      </c>
      <c r="M26" s="279"/>
      <c r="N26" s="279"/>
      <c r="O26" s="279"/>
      <c r="P26" s="280">
        <f>41+98+46+40+38+41+38+47+50</f>
        <v>439</v>
      </c>
      <c r="Q26" s="281">
        <v>1882.37</v>
      </c>
      <c r="R26" s="282">
        <f>893.55+158.4</f>
        <v>1051.95</v>
      </c>
      <c r="S26" s="96">
        <f t="shared" si="1"/>
        <v>3373.3199999999997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ht="27.75" customHeight="1">
      <c r="A27" s="21"/>
      <c r="B27" s="86">
        <v>23</v>
      </c>
      <c r="C27" s="87" t="s">
        <v>253</v>
      </c>
      <c r="D27" s="95" t="s">
        <v>254</v>
      </c>
      <c r="E27" s="155" t="s">
        <v>922</v>
      </c>
      <c r="F27" s="102" t="s">
        <v>256</v>
      </c>
      <c r="G27" s="158" t="s">
        <v>257</v>
      </c>
      <c r="H27" s="93" t="str">
        <f t="shared" si="0"/>
        <v>REUNIÃO COM O SECRETÁRIO DE COORDENAÇÃO E GOVERNANÇA DAS EMPRESAS ESTATAIS. </v>
      </c>
      <c r="I27" s="95" t="s">
        <v>72</v>
      </c>
      <c r="J27" s="179">
        <v>43556</v>
      </c>
      <c r="K27" s="180">
        <v>4</v>
      </c>
      <c r="L27" s="180">
        <v>4</v>
      </c>
      <c r="M27" s="279">
        <v>32</v>
      </c>
      <c r="N27" s="279">
        <v>34.81</v>
      </c>
      <c r="O27" s="279"/>
      <c r="P27" s="280">
        <v>0</v>
      </c>
      <c r="Q27" s="281">
        <v>1026.3699999999999</v>
      </c>
      <c r="R27" s="282">
        <v>0</v>
      </c>
      <c r="S27" s="96">
        <f t="shared" si="1"/>
        <v>1093.1799999999998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7" ht="36" customHeight="1">
      <c r="A28" s="21"/>
      <c r="B28" s="86">
        <v>24</v>
      </c>
      <c r="C28" s="87" t="s">
        <v>258</v>
      </c>
      <c r="D28" s="93" t="s">
        <v>259</v>
      </c>
      <c r="E28" s="155" t="s">
        <v>923</v>
      </c>
      <c r="F28" s="102" t="s">
        <v>260</v>
      </c>
      <c r="G28" s="151" t="s">
        <v>261</v>
      </c>
      <c r="H28" s="93" t="str">
        <f t="shared" si="0"/>
        <v>MINISTRAR TREINAMENTO MÓDULO FARMÁCIA - PROJETO AGHUSE - HOSPITAL DO EXÉRCITO BRASÍLIA.</v>
      </c>
      <c r="I28" s="95" t="s">
        <v>262</v>
      </c>
      <c r="J28" s="179">
        <v>43557</v>
      </c>
      <c r="K28" s="180">
        <v>3</v>
      </c>
      <c r="L28" s="180">
        <v>5</v>
      </c>
      <c r="M28" s="279">
        <v>85</v>
      </c>
      <c r="N28" s="279">
        <v>31.5</v>
      </c>
      <c r="O28" s="293"/>
      <c r="P28" s="280">
        <v>0</v>
      </c>
      <c r="Q28" s="281">
        <f>373.05+599.39</f>
        <v>972.44</v>
      </c>
      <c r="R28" s="282">
        <f>595.7+167.09</f>
        <v>762.79000000000008</v>
      </c>
      <c r="S28" s="96">
        <f t="shared" si="1"/>
        <v>1851.73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ht="35.25" customHeight="1">
      <c r="A29" s="21"/>
      <c r="B29" s="86">
        <v>25</v>
      </c>
      <c r="C29" s="87" t="s">
        <v>263</v>
      </c>
      <c r="D29" s="95" t="s">
        <v>264</v>
      </c>
      <c r="E29" s="155" t="s">
        <v>924</v>
      </c>
      <c r="F29" s="92" t="s">
        <v>265</v>
      </c>
      <c r="G29" s="151" t="s">
        <v>266</v>
      </c>
      <c r="H29" s="93" t="str">
        <f t="shared" si="0"/>
        <v>MINISTRAR TREINAMENTO MÓDULO COMPRAS - PROJETO AGHUSE - HOSPITAL DO EXÉRCITO BRASÍLIA.</v>
      </c>
      <c r="I29" s="95" t="s">
        <v>72</v>
      </c>
      <c r="J29" s="103">
        <v>43525</v>
      </c>
      <c r="K29" s="95">
        <v>31</v>
      </c>
      <c r="L29" s="95">
        <v>2</v>
      </c>
      <c r="M29" s="279">
        <v>98.38</v>
      </c>
      <c r="N29" s="279">
        <v>171.61</v>
      </c>
      <c r="O29" s="293"/>
      <c r="P29" s="280">
        <v>0</v>
      </c>
      <c r="Q29" s="281">
        <v>1750.37</v>
      </c>
      <c r="R29" s="282">
        <f>595.7+54.1</f>
        <v>649.80000000000007</v>
      </c>
      <c r="S29" s="96">
        <f t="shared" si="1"/>
        <v>2670.16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ht="33.75" customHeight="1">
      <c r="A30" s="21"/>
      <c r="B30" s="86">
        <v>26</v>
      </c>
      <c r="C30" s="87" t="s">
        <v>267</v>
      </c>
      <c r="D30" s="95" t="s">
        <v>268</v>
      </c>
      <c r="E30" s="155" t="s">
        <v>925</v>
      </c>
      <c r="F30" s="102" t="s">
        <v>269</v>
      </c>
      <c r="G30" s="151" t="s">
        <v>270</v>
      </c>
      <c r="H30" s="93" t="str">
        <f t="shared" si="0"/>
        <v>MINISTRAR TREINAMENTO MÓDULO ESTOQUE - PROJETO AGHUSE - HOSPITAL DO EXÉRCITO BRASÍLIA.</v>
      </c>
      <c r="I30" s="95" t="s">
        <v>72</v>
      </c>
      <c r="J30" s="179">
        <v>43557</v>
      </c>
      <c r="K30" s="180">
        <v>1</v>
      </c>
      <c r="L30" s="180">
        <v>4</v>
      </c>
      <c r="M30" s="279">
        <v>376.45</v>
      </c>
      <c r="N30" s="279">
        <v>85</v>
      </c>
      <c r="O30" s="293"/>
      <c r="P30" s="280">
        <v>0</v>
      </c>
      <c r="Q30" s="281">
        <f>1530.98+599.39</f>
        <v>2130.37</v>
      </c>
      <c r="R30" s="282">
        <f>893.55+337.37</f>
        <v>1230.92</v>
      </c>
      <c r="S30" s="96">
        <f t="shared" si="1"/>
        <v>3822.74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ht="81" customHeight="1">
      <c r="A31" s="21"/>
      <c r="B31" s="86">
        <v>27</v>
      </c>
      <c r="C31" s="87" t="s">
        <v>271</v>
      </c>
      <c r="D31" s="95" t="s">
        <v>272</v>
      </c>
      <c r="E31" s="155" t="s">
        <v>926</v>
      </c>
      <c r="F31" s="95" t="s">
        <v>273</v>
      </c>
      <c r="G31" s="158" t="s">
        <v>274</v>
      </c>
      <c r="H31" s="93" t="str">
        <f t="shared" si="0"/>
        <v>REUNIÃO NO MINISTÉRIO DA SAÚDE - PLANO DE EXPANSÃO DA RADIOTERAPIA SUS  (DISCUSSÃO E DELIBERAR SOBRE OS PROCEDIMENTOS ADEQUADOS PARA A PRESTAÇÃO EFETIVA DAS MANUTENÇÕES PREVENTIVAS E CORRETIVAS DOS EQUIPAMENTOS QUE COMPÕEM A SOLUÇÃO DE RADIOTERAPIA)</v>
      </c>
      <c r="I31" s="95" t="s">
        <v>72</v>
      </c>
      <c r="J31" s="179">
        <v>43556</v>
      </c>
      <c r="K31" s="180">
        <v>3</v>
      </c>
      <c r="L31" s="180">
        <v>3</v>
      </c>
      <c r="M31" s="279"/>
      <c r="N31" s="279"/>
      <c r="O31" s="293"/>
      <c r="P31" s="290">
        <v>0</v>
      </c>
      <c r="Q31" s="281">
        <v>1656.37</v>
      </c>
      <c r="R31" s="282">
        <v>0</v>
      </c>
      <c r="S31" s="96">
        <f t="shared" si="1"/>
        <v>1656.37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7" ht="60" customHeight="1">
      <c r="A32" s="21"/>
      <c r="B32" s="106">
        <v>28</v>
      </c>
      <c r="C32" s="107" t="s">
        <v>275</v>
      </c>
      <c r="D32" s="115" t="s">
        <v>276</v>
      </c>
      <c r="E32" s="182" t="s">
        <v>927</v>
      </c>
      <c r="F32" s="183" t="s">
        <v>277</v>
      </c>
      <c r="G32" s="112" t="s">
        <v>274</v>
      </c>
      <c r="H32" s="113" t="str">
        <f t="shared" si="0"/>
        <v>REUNIÃO NO MINISTÉRIO DA SAÚDE - PLANO DE EXPANSÃO DA RADIOTERAPIA SUS  (DISCUSSÃO E DELIBERAR SOBRE OS PROCEDIMENTOS ADEQUADOS PARA A PRESTAÇÃO EFETIVA DAS MANUTENÇÕES PREVENTIVAS E CORRETIVAS DOS EQUIPAMENTOS QUE COMPÕEM A SOLUÇÃO DE RADIOTERAPIA)</v>
      </c>
      <c r="I32" s="115" t="s">
        <v>72</v>
      </c>
      <c r="J32" s="184">
        <v>43556</v>
      </c>
      <c r="K32" s="185">
        <v>3</v>
      </c>
      <c r="L32" s="185">
        <v>3</v>
      </c>
      <c r="M32" s="284"/>
      <c r="N32" s="284"/>
      <c r="O32" s="284"/>
      <c r="P32" s="291">
        <v>0</v>
      </c>
      <c r="Q32" s="286">
        <v>1656.37</v>
      </c>
      <c r="R32" s="287">
        <v>0</v>
      </c>
      <c r="S32" s="119">
        <f t="shared" si="1"/>
        <v>1656.37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</row>
    <row r="33" spans="1:37" ht="15.75" customHeight="1">
      <c r="A33" s="21"/>
      <c r="B33" s="34"/>
      <c r="C33" s="35"/>
      <c r="D33" s="36"/>
      <c r="E33" s="36"/>
      <c r="F33" s="36"/>
      <c r="G33" s="36"/>
      <c r="H33" s="36"/>
      <c r="I33" s="36"/>
      <c r="J33" s="120"/>
      <c r="K33" s="121"/>
      <c r="L33" s="121"/>
      <c r="M33" s="37"/>
      <c r="N33" s="37"/>
      <c r="O33" s="37"/>
      <c r="P33" s="22"/>
      <c r="Q33" s="38"/>
      <c r="R33" s="39"/>
      <c r="S33" s="40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</row>
    <row r="34" spans="1:37" ht="15.75" customHeight="1">
      <c r="A34" s="41"/>
      <c r="B34" s="122" t="s">
        <v>94</v>
      </c>
      <c r="C34" s="41"/>
      <c r="D34" s="123" t="s">
        <v>95</v>
      </c>
      <c r="E34" s="124"/>
      <c r="F34" s="41"/>
      <c r="G34" s="41"/>
      <c r="H34" s="41"/>
      <c r="I34" s="125"/>
      <c r="J34" s="41"/>
      <c r="K34" s="34"/>
      <c r="L34" s="41"/>
      <c r="M34" s="126">
        <f t="shared" ref="M34:R34" si="4">SUM(M5:M32)</f>
        <v>2145.65</v>
      </c>
      <c r="N34" s="126">
        <f t="shared" si="4"/>
        <v>1890.1</v>
      </c>
      <c r="O34" s="126">
        <f t="shared" si="4"/>
        <v>0</v>
      </c>
      <c r="P34" s="186">
        <f t="shared" si="4"/>
        <v>878.95</v>
      </c>
      <c r="Q34" s="128">
        <f t="shared" si="4"/>
        <v>43883.290000000008</v>
      </c>
      <c r="R34" s="129">
        <f t="shared" si="4"/>
        <v>15339.580000000002</v>
      </c>
      <c r="S34" s="46">
        <f>SUM(S5:S32)+P35</f>
        <v>64146.359500000013</v>
      </c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</row>
    <row r="35" spans="1:37" ht="15.75" customHeight="1">
      <c r="A35" s="47"/>
      <c r="B35" s="47"/>
      <c r="C35" s="47"/>
      <c r="D35" s="310"/>
      <c r="E35" s="306"/>
      <c r="F35" s="306"/>
      <c r="G35" s="306"/>
      <c r="H35" s="306"/>
      <c r="I35" s="306"/>
      <c r="J35" s="306"/>
      <c r="K35" s="306"/>
      <c r="L35" s="47"/>
      <c r="M35" s="48"/>
      <c r="N35" s="48"/>
      <c r="O35" s="130" t="s">
        <v>94</v>
      </c>
      <c r="P35" s="22">
        <f>P34*1%</f>
        <v>8.7895000000000003</v>
      </c>
      <c r="Q35" s="47"/>
      <c r="R35" s="47"/>
      <c r="S35" s="52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</row>
    <row r="36" spans="1:37" ht="15.75" customHeight="1">
      <c r="A36" s="47"/>
      <c r="B36" s="47"/>
      <c r="C36" s="47"/>
      <c r="D36" s="187"/>
      <c r="E36" s="187"/>
      <c r="F36" s="47"/>
      <c r="G36" s="47"/>
      <c r="H36" s="47"/>
      <c r="I36" s="50"/>
      <c r="J36" s="47"/>
      <c r="K36" s="47"/>
      <c r="L36" s="47"/>
      <c r="M36" s="48"/>
      <c r="N36" s="48"/>
      <c r="O36" s="48"/>
      <c r="P36" s="131">
        <f>P34+P35</f>
        <v>887.73950000000002</v>
      </c>
      <c r="Q36" s="51"/>
      <c r="R36" s="52"/>
      <c r="S36" s="132" t="s">
        <v>96</v>
      </c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</row>
    <row r="37" spans="1:37" ht="15.75" customHeight="1">
      <c r="A37" s="47"/>
      <c r="B37" s="47"/>
      <c r="C37" s="47"/>
      <c r="D37" s="311"/>
      <c r="E37" s="306"/>
      <c r="F37" s="306"/>
      <c r="G37" s="306"/>
      <c r="H37" s="306"/>
      <c r="I37" s="306"/>
      <c r="J37" s="306"/>
      <c r="K37" s="306"/>
      <c r="L37" s="47"/>
      <c r="M37" s="48"/>
      <c r="N37" s="48"/>
      <c r="O37" s="48"/>
      <c r="P37" s="22"/>
      <c r="Q37" s="4" t="s">
        <v>26</v>
      </c>
      <c r="R37" s="133">
        <f>M34+N34+O34+P36+Q34+R34</f>
        <v>64146.359500000006</v>
      </c>
      <c r="S37" s="56">
        <f>S34-R37</f>
        <v>0</v>
      </c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</row>
    <row r="38" spans="1:37" ht="15.75" customHeight="1">
      <c r="C38" s="1"/>
      <c r="D38" s="1"/>
      <c r="E38" s="1"/>
      <c r="F38" s="1"/>
      <c r="G38" s="1"/>
      <c r="H38" s="1"/>
      <c r="I38" s="2"/>
      <c r="J38" s="63"/>
      <c r="K38" s="63"/>
      <c r="L38" s="63"/>
      <c r="M38" s="3"/>
      <c r="N38" s="3"/>
      <c r="O38" s="130" t="s">
        <v>94</v>
      </c>
      <c r="P38" s="22" t="s">
        <v>97</v>
      </c>
      <c r="Q38" s="4"/>
      <c r="R38" s="5"/>
      <c r="S38" s="5"/>
    </row>
    <row r="39" spans="1:37" ht="15.75" customHeight="1">
      <c r="C39" s="1"/>
      <c r="D39" s="1"/>
      <c r="E39" s="1"/>
      <c r="F39" s="1"/>
      <c r="G39" s="1"/>
      <c r="H39" s="1"/>
      <c r="I39" s="2"/>
      <c r="J39" s="63"/>
      <c r="K39" s="63"/>
      <c r="L39" s="63"/>
      <c r="M39" s="3"/>
      <c r="N39" s="3"/>
      <c r="O39" s="3"/>
      <c r="P39" s="22"/>
      <c r="Q39" s="4"/>
      <c r="R39" s="5"/>
      <c r="S39" s="5"/>
    </row>
    <row r="40" spans="1:37" ht="15.75" customHeight="1">
      <c r="C40" s="1"/>
      <c r="D40" s="1"/>
      <c r="E40" s="1"/>
      <c r="F40" s="1"/>
      <c r="G40" s="1"/>
      <c r="H40" s="1"/>
      <c r="I40" s="2"/>
      <c r="J40" s="63"/>
      <c r="K40" s="63"/>
      <c r="L40" s="63"/>
      <c r="M40" s="3"/>
      <c r="N40" s="3"/>
      <c r="O40" s="3"/>
      <c r="P40" s="22"/>
      <c r="Q40" s="4"/>
      <c r="R40" s="5"/>
      <c r="S40" s="5"/>
    </row>
    <row r="41" spans="1:37" ht="15.75" customHeight="1">
      <c r="C41" s="1"/>
      <c r="D41" s="1"/>
      <c r="E41" s="1"/>
      <c r="F41" s="1"/>
      <c r="G41" s="1"/>
      <c r="H41" s="1"/>
      <c r="I41" s="2"/>
      <c r="J41" s="63"/>
      <c r="K41" s="63"/>
      <c r="L41" s="63"/>
      <c r="M41" s="3"/>
      <c r="N41" s="3"/>
      <c r="O41" s="3"/>
      <c r="P41" s="22"/>
      <c r="Q41" s="4"/>
      <c r="R41" s="5"/>
      <c r="S41" s="5"/>
    </row>
    <row r="42" spans="1:37" ht="15.75" customHeight="1">
      <c r="C42" s="1"/>
      <c r="D42" s="1"/>
      <c r="E42" s="1"/>
      <c r="F42" s="1"/>
      <c r="G42" s="1"/>
      <c r="H42" s="1"/>
      <c r="I42" s="2"/>
      <c r="J42" s="63"/>
      <c r="K42" s="63"/>
      <c r="L42" s="63"/>
      <c r="M42" s="3"/>
      <c r="N42" s="3"/>
      <c r="O42" s="3"/>
      <c r="P42" s="22"/>
      <c r="Q42" s="4"/>
      <c r="R42" s="5"/>
      <c r="S42" s="5"/>
    </row>
    <row r="43" spans="1:37" ht="15.75" customHeight="1">
      <c r="C43" s="1"/>
      <c r="D43" s="1"/>
      <c r="E43" s="1"/>
      <c r="F43" s="1"/>
      <c r="G43" s="1"/>
      <c r="H43" s="1"/>
      <c r="I43" s="2"/>
      <c r="J43" s="63"/>
      <c r="K43" s="63"/>
      <c r="L43" s="63"/>
      <c r="M43" s="3"/>
      <c r="N43" s="3"/>
      <c r="O43" s="3"/>
      <c r="P43" s="22"/>
      <c r="Q43" s="4"/>
      <c r="R43" s="5"/>
      <c r="S43" s="5"/>
    </row>
    <row r="44" spans="1:37" ht="15.75" customHeight="1">
      <c r="C44" s="1"/>
      <c r="D44" s="1"/>
      <c r="E44" s="1"/>
      <c r="F44" s="1"/>
      <c r="G44" s="1"/>
      <c r="H44" s="1"/>
      <c r="I44" s="2"/>
      <c r="J44" s="63"/>
      <c r="K44" s="63"/>
      <c r="L44" s="63"/>
      <c r="M44" s="3"/>
      <c r="N44" s="3"/>
      <c r="O44" s="3"/>
      <c r="P44" s="22"/>
    </row>
    <row r="45" spans="1:37" ht="15.75" customHeight="1">
      <c r="C45" s="1"/>
      <c r="D45" s="1"/>
      <c r="E45" s="1"/>
      <c r="F45" s="1"/>
      <c r="G45" s="1"/>
      <c r="H45" s="1"/>
      <c r="I45" s="2"/>
      <c r="J45" s="63"/>
      <c r="K45" s="63"/>
      <c r="L45" s="63"/>
      <c r="M45" s="3"/>
      <c r="N45" s="3"/>
      <c r="O45" s="3"/>
      <c r="P45" s="22"/>
    </row>
    <row r="46" spans="1:37" ht="15.75" customHeight="1">
      <c r="C46" s="1"/>
      <c r="I46" s="2"/>
      <c r="J46" s="63"/>
      <c r="K46" s="63"/>
      <c r="L46" s="63"/>
      <c r="M46" s="3"/>
      <c r="N46" s="3"/>
      <c r="O46" s="3"/>
      <c r="P46" s="22"/>
    </row>
    <row r="47" spans="1:37" ht="15.75" customHeight="1">
      <c r="C47" s="1"/>
      <c r="D47" s="1"/>
      <c r="E47" s="1"/>
      <c r="F47" s="1"/>
      <c r="G47" s="1"/>
      <c r="H47" s="1"/>
      <c r="I47" s="2"/>
      <c r="J47" s="63"/>
      <c r="K47" s="63"/>
      <c r="L47" s="63"/>
      <c r="M47" s="3"/>
      <c r="N47" s="3"/>
      <c r="O47" s="3"/>
      <c r="P47" s="22"/>
    </row>
    <row r="48" spans="1:37" ht="15.75" customHeight="1">
      <c r="C48" s="1"/>
      <c r="D48" s="1"/>
      <c r="E48" s="1"/>
      <c r="F48" s="1"/>
      <c r="G48" s="1"/>
      <c r="H48" s="1"/>
      <c r="I48" s="2"/>
      <c r="J48" s="63"/>
      <c r="K48" s="63"/>
      <c r="L48" s="63"/>
      <c r="M48" s="3"/>
      <c r="N48" s="3"/>
      <c r="O48" s="3"/>
      <c r="P48" s="134"/>
    </row>
    <row r="49" spans="3:16" ht="15.75" customHeight="1">
      <c r="C49" s="1"/>
      <c r="D49" s="1"/>
      <c r="E49" s="1"/>
      <c r="F49" s="1"/>
      <c r="G49" s="1"/>
      <c r="H49" s="1"/>
      <c r="I49" s="2"/>
      <c r="J49" s="63"/>
      <c r="K49" s="63"/>
      <c r="L49" s="63"/>
      <c r="M49" s="3"/>
      <c r="N49" s="3"/>
      <c r="O49" s="3"/>
      <c r="P49" s="47"/>
    </row>
    <row r="50" spans="3:16" ht="15.75" customHeight="1">
      <c r="C50" s="1"/>
      <c r="D50" s="1"/>
      <c r="E50" s="1"/>
      <c r="F50" s="1"/>
      <c r="G50" s="1"/>
      <c r="H50" s="1"/>
      <c r="I50" s="2"/>
      <c r="J50" s="63"/>
      <c r="K50" s="63"/>
      <c r="L50" s="63"/>
      <c r="M50" s="3"/>
      <c r="N50" s="3"/>
      <c r="O50" s="3"/>
      <c r="P50" s="47"/>
    </row>
    <row r="51" spans="3:16" ht="15.75" customHeight="1">
      <c r="C51" s="1"/>
      <c r="D51" s="1"/>
      <c r="E51" s="1"/>
      <c r="F51" s="1"/>
      <c r="G51" s="1"/>
      <c r="H51" s="1"/>
      <c r="I51" s="2"/>
      <c r="J51" s="63"/>
      <c r="K51" s="63"/>
      <c r="L51" s="63"/>
      <c r="M51" s="3"/>
      <c r="N51" s="3"/>
      <c r="O51" s="3"/>
      <c r="P51" s="47"/>
    </row>
    <row r="52" spans="3:16" ht="15.75" customHeight="1">
      <c r="C52" s="1"/>
      <c r="D52" s="1"/>
      <c r="E52" s="1"/>
      <c r="F52" s="1"/>
      <c r="G52" s="1"/>
      <c r="H52" s="1"/>
      <c r="I52" s="2"/>
      <c r="J52" s="63"/>
      <c r="K52" s="63"/>
      <c r="L52" s="63"/>
      <c r="M52" s="3"/>
      <c r="N52" s="3"/>
      <c r="O52" s="3"/>
    </row>
    <row r="53" spans="3:16" ht="15.75" customHeight="1">
      <c r="C53" s="1"/>
      <c r="D53" s="1"/>
      <c r="E53" s="1"/>
      <c r="F53" s="1"/>
      <c r="G53" s="1"/>
      <c r="H53" s="1"/>
      <c r="I53" s="2"/>
      <c r="J53" s="63"/>
      <c r="K53" s="63"/>
      <c r="L53" s="63"/>
      <c r="M53" s="3"/>
      <c r="N53" s="3"/>
      <c r="O53" s="3"/>
    </row>
    <row r="54" spans="3:16" ht="15.75" customHeight="1">
      <c r="C54" s="1"/>
      <c r="D54" s="1"/>
      <c r="E54" s="1"/>
      <c r="F54" s="1"/>
      <c r="G54" s="1"/>
      <c r="H54" s="1"/>
      <c r="I54" s="2"/>
      <c r="J54" s="63"/>
      <c r="K54" s="63"/>
      <c r="L54" s="63"/>
      <c r="M54" s="3"/>
      <c r="N54" s="3"/>
      <c r="O54" s="3"/>
    </row>
    <row r="55" spans="3:16" ht="15.75" customHeight="1">
      <c r="C55" s="1"/>
      <c r="D55" s="1"/>
      <c r="E55" s="1"/>
      <c r="F55" s="1"/>
      <c r="G55" s="1"/>
      <c r="H55" s="1"/>
      <c r="I55" s="2"/>
      <c r="J55" s="63"/>
      <c r="K55" s="63"/>
      <c r="L55" s="63"/>
      <c r="M55" s="3"/>
      <c r="N55" s="3"/>
      <c r="O55" s="3"/>
    </row>
    <row r="56" spans="3:16" ht="15.75" customHeight="1">
      <c r="C56" s="1"/>
      <c r="D56" s="1"/>
      <c r="E56" s="1"/>
      <c r="F56" s="1"/>
      <c r="G56" s="1"/>
      <c r="H56" s="1"/>
      <c r="I56" s="2"/>
      <c r="J56" s="63"/>
      <c r="K56" s="63"/>
      <c r="L56" s="63"/>
      <c r="M56" s="3"/>
      <c r="N56" s="3"/>
      <c r="O56" s="3"/>
    </row>
    <row r="57" spans="3:16" ht="15.75" customHeight="1">
      <c r="C57" s="1"/>
      <c r="D57" s="1"/>
      <c r="E57" s="1"/>
      <c r="F57" s="1"/>
      <c r="G57" s="1"/>
      <c r="H57" s="1"/>
      <c r="I57" s="2"/>
      <c r="J57" s="63"/>
      <c r="K57" s="63"/>
      <c r="L57" s="63"/>
      <c r="M57" s="3"/>
      <c r="N57" s="3"/>
      <c r="O57" s="3"/>
    </row>
    <row r="58" spans="3:16" ht="15.75" customHeight="1">
      <c r="C58" s="1"/>
      <c r="D58" s="1"/>
      <c r="E58" s="1"/>
      <c r="F58" s="1"/>
      <c r="G58" s="1"/>
      <c r="H58" s="1"/>
      <c r="I58" s="2"/>
      <c r="J58" s="63"/>
      <c r="K58" s="63"/>
      <c r="L58" s="63"/>
      <c r="M58" s="3"/>
      <c r="N58" s="3"/>
      <c r="O58" s="3"/>
    </row>
    <row r="59" spans="3:16" ht="15.75" customHeight="1">
      <c r="C59" s="1"/>
      <c r="D59" s="1"/>
      <c r="E59" s="1"/>
      <c r="F59" s="1"/>
      <c r="G59" s="1"/>
      <c r="H59" s="1"/>
      <c r="I59" s="2"/>
      <c r="J59" s="63"/>
      <c r="K59" s="63"/>
      <c r="L59" s="63"/>
      <c r="M59" s="3"/>
      <c r="N59" s="3"/>
      <c r="O59" s="3"/>
    </row>
    <row r="60" spans="3:16" ht="15.75" customHeight="1">
      <c r="C60" s="1"/>
      <c r="D60" s="1"/>
      <c r="E60" s="1"/>
      <c r="F60" s="1"/>
      <c r="G60" s="1"/>
      <c r="H60" s="1"/>
      <c r="I60" s="2"/>
      <c r="J60" s="63"/>
      <c r="K60" s="63"/>
      <c r="L60" s="63"/>
    </row>
    <row r="61" spans="3:16" ht="15.75" customHeight="1">
      <c r="C61" s="1"/>
      <c r="D61" s="1"/>
      <c r="E61" s="1"/>
      <c r="F61" s="1"/>
      <c r="G61" s="1"/>
      <c r="H61" s="1"/>
      <c r="I61" s="2"/>
      <c r="J61" s="63"/>
      <c r="K61" s="63"/>
      <c r="L61" s="63"/>
    </row>
    <row r="62" spans="3:16" ht="15.75" customHeight="1">
      <c r="C62" s="1"/>
      <c r="D62" s="1"/>
      <c r="E62" s="1"/>
      <c r="F62" s="1"/>
      <c r="G62" s="1"/>
      <c r="H62" s="1"/>
      <c r="I62" s="2"/>
      <c r="J62" s="63"/>
      <c r="K62" s="63"/>
      <c r="L62" s="63"/>
    </row>
    <row r="63" spans="3:16" ht="15.75" customHeight="1">
      <c r="C63" s="1"/>
      <c r="D63" s="1"/>
      <c r="E63" s="1"/>
      <c r="F63" s="1"/>
      <c r="G63" s="1"/>
      <c r="H63" s="1"/>
      <c r="I63" s="2"/>
      <c r="J63" s="63"/>
      <c r="K63" s="63"/>
      <c r="L63" s="63"/>
    </row>
    <row r="64" spans="3:16" ht="15.75" customHeight="1">
      <c r="C64" s="1"/>
      <c r="D64" s="1"/>
      <c r="E64" s="1"/>
      <c r="F64" s="1"/>
      <c r="G64" s="1"/>
      <c r="H64" s="1"/>
      <c r="I64" s="2"/>
      <c r="J64" s="63"/>
      <c r="K64" s="63"/>
      <c r="L64" s="63"/>
    </row>
    <row r="65" spans="3:12" ht="15.75" customHeight="1">
      <c r="C65" s="1"/>
      <c r="D65" s="1"/>
      <c r="E65" s="1"/>
      <c r="F65" s="1"/>
      <c r="G65" s="1"/>
      <c r="H65" s="1"/>
      <c r="I65" s="2"/>
      <c r="J65" s="63"/>
      <c r="K65" s="63"/>
      <c r="L65" s="63"/>
    </row>
    <row r="66" spans="3:12" ht="15.75" customHeight="1">
      <c r="C66" s="1"/>
      <c r="D66" s="1"/>
      <c r="E66" s="1"/>
      <c r="F66" s="1"/>
      <c r="G66" s="1"/>
      <c r="H66" s="1"/>
      <c r="I66" s="2"/>
      <c r="J66" s="63"/>
      <c r="K66" s="63"/>
      <c r="L66" s="63"/>
    </row>
    <row r="67" spans="3:12" ht="15.75" customHeight="1">
      <c r="C67" s="1"/>
      <c r="D67" s="1"/>
      <c r="E67" s="1"/>
      <c r="F67" s="1"/>
      <c r="G67" s="1"/>
      <c r="H67" s="1"/>
      <c r="I67" s="2"/>
      <c r="J67" s="63"/>
      <c r="K67" s="63"/>
      <c r="L67" s="63"/>
    </row>
    <row r="68" spans="3:12" ht="15.75" customHeight="1">
      <c r="C68" s="1"/>
      <c r="D68" s="1"/>
      <c r="E68" s="1"/>
      <c r="F68" s="1"/>
      <c r="G68" s="1"/>
      <c r="H68" s="1"/>
      <c r="I68" s="2"/>
      <c r="J68" s="63"/>
      <c r="K68" s="63"/>
      <c r="L68" s="63"/>
    </row>
    <row r="69" spans="3:12" ht="15.75" customHeight="1">
      <c r="C69" s="1"/>
      <c r="D69" s="1"/>
      <c r="E69" s="1"/>
      <c r="F69" s="1"/>
      <c r="G69" s="1"/>
      <c r="H69" s="1"/>
      <c r="I69" s="2"/>
      <c r="J69" s="63"/>
      <c r="K69" s="63"/>
      <c r="L69" s="63"/>
    </row>
    <row r="70" spans="3:12" ht="15.75" customHeight="1">
      <c r="C70" s="1"/>
      <c r="D70" s="1"/>
      <c r="E70" s="1"/>
      <c r="F70" s="1"/>
      <c r="G70" s="1"/>
      <c r="H70" s="1"/>
      <c r="I70" s="2"/>
      <c r="J70" s="63"/>
      <c r="K70" s="63"/>
      <c r="L70" s="63"/>
    </row>
    <row r="71" spans="3:12" ht="15.75" customHeight="1">
      <c r="C71" s="1"/>
      <c r="D71" s="1"/>
      <c r="E71" s="1"/>
      <c r="F71" s="1"/>
      <c r="G71" s="1"/>
      <c r="H71" s="1"/>
      <c r="I71" s="2"/>
      <c r="J71" s="63"/>
      <c r="K71" s="63"/>
      <c r="L71" s="63"/>
    </row>
    <row r="72" spans="3:12" ht="15.75" customHeight="1">
      <c r="C72" s="1"/>
      <c r="D72" s="1"/>
      <c r="E72" s="1"/>
      <c r="F72" s="1"/>
      <c r="G72" s="1"/>
      <c r="H72" s="1"/>
      <c r="I72" s="2"/>
      <c r="J72" s="63"/>
      <c r="K72" s="63"/>
      <c r="L72" s="63"/>
    </row>
    <row r="73" spans="3:12" ht="15.75" customHeight="1">
      <c r="C73" s="1"/>
      <c r="D73" s="1"/>
      <c r="E73" s="1"/>
      <c r="F73" s="1"/>
      <c r="G73" s="1"/>
      <c r="H73" s="1"/>
      <c r="I73" s="2"/>
      <c r="J73" s="63"/>
      <c r="K73" s="63"/>
      <c r="L73" s="63"/>
    </row>
    <row r="74" spans="3:12" ht="15.75" customHeight="1">
      <c r="C74" s="1"/>
      <c r="D74" s="1"/>
      <c r="E74" s="1"/>
      <c r="F74" s="1"/>
      <c r="G74" s="1"/>
      <c r="H74" s="1"/>
      <c r="I74" s="2"/>
      <c r="J74" s="63"/>
      <c r="K74" s="63"/>
      <c r="L74" s="63"/>
    </row>
    <row r="75" spans="3:12" ht="15.75" customHeight="1">
      <c r="C75" s="1"/>
      <c r="D75" s="1"/>
      <c r="E75" s="1"/>
      <c r="F75" s="1"/>
      <c r="G75" s="1"/>
      <c r="H75" s="1"/>
      <c r="I75" s="2"/>
      <c r="J75" s="63"/>
      <c r="K75" s="63"/>
      <c r="L75" s="63"/>
    </row>
    <row r="76" spans="3:12" ht="15.75" customHeight="1">
      <c r="C76" s="1"/>
      <c r="D76" s="1"/>
      <c r="E76" s="1"/>
      <c r="F76" s="1"/>
      <c r="G76" s="1"/>
      <c r="H76" s="1"/>
      <c r="I76" s="2"/>
      <c r="J76" s="63"/>
      <c r="K76" s="63"/>
      <c r="L76" s="63"/>
    </row>
    <row r="77" spans="3:12" ht="15.75" customHeight="1">
      <c r="C77" s="1"/>
      <c r="D77" s="1"/>
      <c r="E77" s="1"/>
      <c r="F77" s="1"/>
      <c r="G77" s="1"/>
      <c r="H77" s="1"/>
      <c r="I77" s="2"/>
      <c r="J77" s="63"/>
      <c r="K77" s="63"/>
      <c r="L77" s="63"/>
    </row>
    <row r="78" spans="3:12" ht="15.75" customHeight="1">
      <c r="C78" s="1"/>
      <c r="D78" s="1"/>
      <c r="E78" s="1"/>
      <c r="F78" s="1"/>
      <c r="G78" s="1"/>
      <c r="H78" s="1"/>
      <c r="I78" s="2"/>
      <c r="J78" s="63"/>
      <c r="K78" s="63"/>
      <c r="L78" s="63"/>
    </row>
    <row r="79" spans="3:12" ht="15.75" customHeight="1">
      <c r="C79" s="1"/>
      <c r="D79" s="1"/>
      <c r="E79" s="1"/>
      <c r="F79" s="1"/>
      <c r="G79" s="1"/>
      <c r="H79" s="1"/>
      <c r="I79" s="2"/>
      <c r="J79" s="63"/>
      <c r="K79" s="63"/>
      <c r="L79" s="63"/>
    </row>
    <row r="80" spans="3:12" ht="15.75" customHeight="1">
      <c r="C80" s="1"/>
      <c r="D80" s="1"/>
      <c r="E80" s="1"/>
      <c r="F80" s="1"/>
      <c r="G80" s="1"/>
      <c r="H80" s="1"/>
      <c r="I80" s="2"/>
      <c r="J80" s="63"/>
      <c r="K80" s="63"/>
      <c r="L80" s="63"/>
    </row>
    <row r="81" spans="3:12" ht="15.75" customHeight="1">
      <c r="C81" s="1"/>
      <c r="D81" s="1"/>
      <c r="E81" s="1"/>
      <c r="F81" s="1"/>
      <c r="G81" s="1"/>
      <c r="H81" s="1"/>
      <c r="I81" s="2"/>
      <c r="J81" s="63"/>
      <c r="K81" s="63"/>
      <c r="L81" s="63"/>
    </row>
    <row r="82" spans="3:12" ht="15.75" customHeight="1">
      <c r="C82" s="1"/>
      <c r="D82" s="1"/>
      <c r="E82" s="1"/>
      <c r="F82" s="1"/>
      <c r="G82" s="1"/>
      <c r="H82" s="1"/>
      <c r="I82" s="2"/>
      <c r="J82" s="63"/>
      <c r="K82" s="63"/>
      <c r="L82" s="63"/>
    </row>
    <row r="83" spans="3:12" ht="15.75" customHeight="1">
      <c r="C83" s="1"/>
      <c r="D83" s="1"/>
      <c r="E83" s="1"/>
      <c r="F83" s="1"/>
      <c r="G83" s="1"/>
      <c r="H83" s="1"/>
      <c r="I83" s="2"/>
      <c r="J83" s="63"/>
      <c r="K83" s="63"/>
      <c r="L83" s="63"/>
    </row>
    <row r="84" spans="3:12" ht="15.75" customHeight="1">
      <c r="C84" s="1"/>
      <c r="D84" s="1"/>
      <c r="E84" s="1"/>
      <c r="F84" s="1"/>
      <c r="G84" s="1"/>
      <c r="H84" s="1"/>
      <c r="I84" s="2"/>
      <c r="J84" s="63"/>
      <c r="K84" s="63"/>
      <c r="L84" s="63"/>
    </row>
    <row r="85" spans="3:12" ht="15.75" customHeight="1">
      <c r="C85" s="1"/>
      <c r="D85" s="1"/>
      <c r="E85" s="1"/>
      <c r="F85" s="1"/>
      <c r="G85" s="1"/>
      <c r="H85" s="1"/>
      <c r="I85" s="2"/>
      <c r="J85" s="63"/>
      <c r="K85" s="63"/>
      <c r="L85" s="63"/>
    </row>
    <row r="86" spans="3:12" ht="15.75" customHeight="1">
      <c r="C86" s="1"/>
      <c r="D86" s="1"/>
      <c r="E86" s="1"/>
      <c r="F86" s="1"/>
      <c r="G86" s="1"/>
      <c r="H86" s="1"/>
      <c r="I86" s="2"/>
      <c r="J86" s="63"/>
      <c r="K86" s="63"/>
      <c r="L86" s="63"/>
    </row>
    <row r="87" spans="3:12" ht="15.75" customHeight="1">
      <c r="C87" s="1"/>
      <c r="D87" s="1"/>
      <c r="E87" s="1"/>
      <c r="F87" s="1"/>
      <c r="G87" s="1"/>
      <c r="H87" s="1"/>
      <c r="I87" s="2"/>
      <c r="J87" s="63"/>
      <c r="K87" s="63"/>
      <c r="L87" s="63"/>
    </row>
    <row r="88" spans="3:12" ht="15.75" customHeight="1">
      <c r="C88" s="1"/>
      <c r="D88" s="1"/>
      <c r="E88" s="1"/>
      <c r="F88" s="1"/>
      <c r="G88" s="1"/>
      <c r="H88" s="1"/>
      <c r="I88" s="2"/>
      <c r="J88" s="63"/>
      <c r="K88" s="63"/>
      <c r="L88" s="63"/>
    </row>
    <row r="89" spans="3:12" ht="15.75" customHeight="1">
      <c r="C89" s="1"/>
      <c r="D89" s="1"/>
      <c r="E89" s="1"/>
      <c r="F89" s="1"/>
      <c r="G89" s="1"/>
      <c r="H89" s="1"/>
      <c r="I89" s="2"/>
      <c r="J89" s="63"/>
      <c r="K89" s="63"/>
      <c r="L89" s="63"/>
    </row>
    <row r="90" spans="3:12" ht="15.75" customHeight="1">
      <c r="C90" s="1"/>
      <c r="D90" s="1"/>
      <c r="E90" s="1"/>
      <c r="F90" s="1"/>
      <c r="G90" s="1"/>
      <c r="H90" s="1"/>
      <c r="I90" s="2"/>
      <c r="J90" s="63"/>
      <c r="K90" s="63"/>
      <c r="L90" s="63"/>
    </row>
    <row r="91" spans="3:12" ht="15.75" customHeight="1">
      <c r="C91" s="1"/>
      <c r="D91" s="1"/>
      <c r="E91" s="1"/>
      <c r="F91" s="1"/>
      <c r="G91" s="1"/>
      <c r="H91" s="1"/>
      <c r="I91" s="2"/>
      <c r="J91" s="63"/>
      <c r="K91" s="63"/>
      <c r="L91" s="63"/>
    </row>
    <row r="92" spans="3:12" ht="15.75" customHeight="1">
      <c r="C92" s="1"/>
      <c r="D92" s="1"/>
      <c r="E92" s="1"/>
      <c r="F92" s="1"/>
      <c r="G92" s="1"/>
      <c r="H92" s="1"/>
      <c r="I92" s="2"/>
      <c r="J92" s="63"/>
      <c r="K92" s="63"/>
      <c r="L92" s="63"/>
    </row>
    <row r="93" spans="3:12" ht="15.75" customHeight="1">
      <c r="C93" s="1"/>
      <c r="D93" s="1"/>
      <c r="E93" s="1"/>
      <c r="F93" s="1"/>
      <c r="G93" s="1"/>
      <c r="H93" s="1"/>
      <c r="I93" s="2"/>
      <c r="J93" s="63"/>
      <c r="K93" s="63"/>
      <c r="L93" s="63"/>
    </row>
    <row r="94" spans="3:12" ht="15.75" customHeight="1">
      <c r="C94" s="1"/>
      <c r="D94" s="1"/>
      <c r="E94" s="1"/>
      <c r="F94" s="1"/>
      <c r="G94" s="1"/>
      <c r="H94" s="1"/>
      <c r="I94" s="2"/>
      <c r="J94" s="63"/>
      <c r="K94" s="63"/>
      <c r="L94" s="63"/>
    </row>
    <row r="95" spans="3:12" ht="15.75" customHeight="1">
      <c r="C95" s="1"/>
      <c r="D95" s="1"/>
      <c r="E95" s="1"/>
      <c r="F95" s="1"/>
      <c r="G95" s="1"/>
      <c r="H95" s="1"/>
      <c r="I95" s="2"/>
      <c r="J95" s="63"/>
      <c r="K95" s="63"/>
      <c r="L95" s="63"/>
    </row>
    <row r="96" spans="3:12" ht="15.75" customHeight="1">
      <c r="C96" s="1"/>
      <c r="D96" s="1"/>
      <c r="E96" s="1"/>
      <c r="F96" s="1"/>
      <c r="G96" s="1"/>
      <c r="H96" s="1"/>
      <c r="I96" s="2"/>
      <c r="J96" s="63"/>
      <c r="K96" s="63"/>
      <c r="L96" s="63"/>
    </row>
    <row r="97" spans="3:12" ht="15.75" customHeight="1">
      <c r="C97" s="1"/>
      <c r="D97" s="1"/>
      <c r="E97" s="1"/>
      <c r="F97" s="1"/>
      <c r="G97" s="1"/>
      <c r="H97" s="1"/>
      <c r="I97" s="2"/>
      <c r="J97" s="63"/>
      <c r="K97" s="63"/>
      <c r="L97" s="63"/>
    </row>
    <row r="98" spans="3:12" ht="15.75" customHeight="1">
      <c r="C98" s="1"/>
      <c r="D98" s="1"/>
      <c r="E98" s="1"/>
      <c r="F98" s="1"/>
      <c r="G98" s="1"/>
      <c r="H98" s="1"/>
      <c r="I98" s="2"/>
      <c r="J98" s="63"/>
      <c r="K98" s="63"/>
      <c r="L98" s="63"/>
    </row>
    <row r="99" spans="3:12" ht="15.75" customHeight="1">
      <c r="C99" s="1"/>
      <c r="D99" s="1"/>
      <c r="E99" s="1"/>
      <c r="F99" s="1"/>
      <c r="G99" s="1"/>
      <c r="H99" s="1"/>
      <c r="I99" s="2"/>
      <c r="J99" s="63"/>
      <c r="K99" s="63"/>
      <c r="L99" s="63"/>
    </row>
    <row r="100" spans="3:12" ht="15.75" customHeight="1">
      <c r="C100" s="1"/>
      <c r="D100" s="1"/>
      <c r="E100" s="1"/>
      <c r="F100" s="1"/>
      <c r="G100" s="1"/>
      <c r="H100" s="1"/>
      <c r="I100" s="2"/>
      <c r="J100" s="63"/>
      <c r="K100" s="63"/>
      <c r="L100" s="63"/>
    </row>
    <row r="101" spans="3:12" ht="15.75" customHeight="1">
      <c r="C101" s="1"/>
      <c r="D101" s="1"/>
      <c r="E101" s="1"/>
      <c r="F101" s="1"/>
      <c r="G101" s="1"/>
      <c r="H101" s="1"/>
      <c r="I101" s="2"/>
      <c r="J101" s="63"/>
      <c r="K101" s="63"/>
      <c r="L101" s="63"/>
    </row>
    <row r="102" spans="3:12" ht="15.75" customHeight="1">
      <c r="C102" s="1"/>
      <c r="D102" s="1"/>
      <c r="E102" s="1"/>
      <c r="F102" s="1"/>
      <c r="G102" s="1"/>
      <c r="H102" s="1"/>
      <c r="I102" s="2"/>
      <c r="J102" s="63"/>
      <c r="K102" s="63"/>
      <c r="L102" s="63"/>
    </row>
    <row r="103" spans="3:12" ht="15.75" customHeight="1">
      <c r="C103" s="1"/>
      <c r="D103" s="1"/>
      <c r="E103" s="1"/>
      <c r="F103" s="1"/>
      <c r="G103" s="1"/>
      <c r="H103" s="1"/>
      <c r="I103" s="2"/>
      <c r="J103" s="63"/>
      <c r="K103" s="63"/>
      <c r="L103" s="63"/>
    </row>
    <row r="104" spans="3:12" ht="15.75" customHeight="1">
      <c r="C104" s="1"/>
      <c r="D104" s="1"/>
      <c r="E104" s="1"/>
      <c r="F104" s="1"/>
      <c r="G104" s="1"/>
      <c r="H104" s="1"/>
      <c r="I104" s="2"/>
      <c r="J104" s="63"/>
      <c r="K104" s="63"/>
      <c r="L104" s="63"/>
    </row>
    <row r="105" spans="3:12" ht="15.75" customHeight="1">
      <c r="C105" s="1"/>
      <c r="D105" s="1"/>
      <c r="E105" s="1"/>
      <c r="F105" s="1"/>
      <c r="G105" s="1"/>
      <c r="H105" s="1"/>
      <c r="I105" s="2"/>
      <c r="J105" s="63"/>
      <c r="K105" s="63"/>
      <c r="L105" s="63"/>
    </row>
    <row r="106" spans="3:12" ht="15.75" customHeight="1">
      <c r="C106" s="1"/>
      <c r="D106" s="1"/>
      <c r="E106" s="1"/>
      <c r="F106" s="1"/>
      <c r="G106" s="1"/>
      <c r="H106" s="1"/>
      <c r="I106" s="2"/>
      <c r="J106" s="63"/>
      <c r="K106" s="63"/>
      <c r="L106" s="63"/>
    </row>
    <row r="107" spans="3:12" ht="15.75" customHeight="1">
      <c r="C107" s="1"/>
      <c r="D107" s="1"/>
      <c r="E107" s="1"/>
      <c r="F107" s="1"/>
      <c r="G107" s="1"/>
      <c r="H107" s="1"/>
      <c r="I107" s="2"/>
      <c r="J107" s="63"/>
      <c r="K107" s="63"/>
      <c r="L107" s="63"/>
    </row>
    <row r="108" spans="3:12" ht="15.75" customHeight="1">
      <c r="C108" s="1"/>
      <c r="D108" s="1"/>
      <c r="E108" s="1"/>
      <c r="F108" s="1"/>
      <c r="G108" s="1"/>
      <c r="H108" s="1"/>
      <c r="I108" s="2"/>
      <c r="J108" s="63"/>
      <c r="K108" s="63"/>
      <c r="L108" s="63"/>
    </row>
    <row r="109" spans="3:12" ht="15.75" customHeight="1">
      <c r="C109" s="1"/>
      <c r="D109" s="1"/>
      <c r="E109" s="1"/>
      <c r="F109" s="1"/>
      <c r="G109" s="1"/>
      <c r="H109" s="1"/>
      <c r="I109" s="2"/>
      <c r="J109" s="63"/>
      <c r="K109" s="63"/>
      <c r="L109" s="63"/>
    </row>
    <row r="110" spans="3:12" ht="15.75" customHeight="1">
      <c r="C110" s="1"/>
      <c r="D110" s="1"/>
      <c r="E110" s="1"/>
      <c r="F110" s="1"/>
      <c r="G110" s="1"/>
      <c r="H110" s="1"/>
      <c r="I110" s="2"/>
      <c r="J110" s="63"/>
      <c r="K110" s="63"/>
      <c r="L110" s="63"/>
    </row>
    <row r="111" spans="3:12" ht="15.75" customHeight="1">
      <c r="C111" s="1"/>
      <c r="D111" s="1"/>
      <c r="E111" s="1"/>
      <c r="F111" s="1"/>
      <c r="G111" s="1"/>
      <c r="H111" s="1"/>
      <c r="I111" s="2"/>
      <c r="J111" s="63"/>
      <c r="K111" s="63"/>
      <c r="L111" s="63"/>
    </row>
    <row r="112" spans="3:12" ht="15.75" customHeight="1">
      <c r="C112" s="1"/>
      <c r="D112" s="1"/>
      <c r="E112" s="1"/>
      <c r="F112" s="1"/>
      <c r="G112" s="1"/>
      <c r="H112" s="1"/>
      <c r="I112" s="2"/>
      <c r="J112" s="63"/>
      <c r="K112" s="63"/>
      <c r="L112" s="63"/>
    </row>
    <row r="113" spans="3:19" ht="15.75" customHeight="1">
      <c r="C113" s="1"/>
      <c r="D113" s="1"/>
      <c r="E113" s="1"/>
      <c r="F113" s="1"/>
      <c r="G113" s="1"/>
      <c r="H113" s="1"/>
      <c r="I113" s="2"/>
      <c r="J113" s="63"/>
      <c r="K113" s="63"/>
      <c r="L113" s="63"/>
    </row>
    <row r="114" spans="3:19" ht="15.75" customHeight="1">
      <c r="C114" s="1"/>
      <c r="D114" s="1"/>
      <c r="E114" s="1"/>
      <c r="F114" s="1"/>
      <c r="G114" s="1"/>
      <c r="H114" s="1"/>
      <c r="I114" s="2"/>
      <c r="J114" s="63"/>
      <c r="K114" s="63"/>
      <c r="L114" s="63"/>
    </row>
    <row r="115" spans="3:19" ht="15.75" customHeight="1">
      <c r="C115" s="1"/>
      <c r="D115" s="1"/>
      <c r="E115" s="1"/>
      <c r="F115" s="1"/>
      <c r="G115" s="1"/>
      <c r="H115" s="1"/>
      <c r="I115" s="2"/>
      <c r="J115" s="63"/>
      <c r="K115" s="63"/>
      <c r="L115" s="63"/>
    </row>
    <row r="116" spans="3:19" ht="15.75" customHeight="1">
      <c r="C116" s="1"/>
      <c r="D116" s="1"/>
      <c r="E116" s="1"/>
      <c r="F116" s="1"/>
      <c r="G116" s="1"/>
      <c r="H116" s="1"/>
      <c r="I116" s="2"/>
      <c r="J116" s="63"/>
      <c r="K116" s="63"/>
      <c r="L116" s="63"/>
    </row>
    <row r="117" spans="3:19" ht="15.75" customHeight="1">
      <c r="C117" s="1"/>
      <c r="I117" s="2"/>
      <c r="J117" s="63"/>
      <c r="K117" s="63"/>
      <c r="L117" s="63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63"/>
      <c r="K118" s="63"/>
      <c r="L118" s="63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63"/>
      <c r="K119" s="63"/>
      <c r="L119" s="63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63"/>
      <c r="K120" s="63"/>
      <c r="L120" s="63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63"/>
      <c r="K121" s="63"/>
      <c r="L121" s="63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63"/>
      <c r="K122" s="63"/>
      <c r="L122" s="63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63"/>
      <c r="K123" s="63"/>
      <c r="L123" s="63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63"/>
      <c r="K124" s="63"/>
      <c r="L124" s="63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63"/>
      <c r="K125" s="63"/>
      <c r="L125" s="63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63"/>
      <c r="K126" s="63"/>
      <c r="L126" s="63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63"/>
      <c r="K127" s="63"/>
      <c r="L127" s="63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63"/>
      <c r="K128" s="63"/>
      <c r="L128" s="63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63"/>
      <c r="K129" s="63"/>
      <c r="L129" s="63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63"/>
      <c r="K130" s="63"/>
      <c r="L130" s="63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63"/>
      <c r="K131" s="63"/>
      <c r="L131" s="63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63"/>
      <c r="K132" s="63"/>
      <c r="L132" s="63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63"/>
      <c r="K133" s="63"/>
      <c r="L133" s="63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63"/>
      <c r="K134" s="63"/>
      <c r="L134" s="63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63"/>
      <c r="K135" s="63"/>
      <c r="L135" s="63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63"/>
      <c r="K136" s="63"/>
      <c r="L136" s="63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63"/>
      <c r="K137" s="63"/>
      <c r="L137" s="63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63"/>
      <c r="K138" s="63"/>
      <c r="L138" s="63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63"/>
      <c r="K139" s="63"/>
      <c r="L139" s="63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63"/>
      <c r="K140" s="63"/>
      <c r="L140" s="63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63"/>
      <c r="K141" s="63"/>
      <c r="L141" s="63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63"/>
      <c r="K142" s="63"/>
      <c r="L142" s="63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63"/>
      <c r="K143" s="63"/>
      <c r="L143" s="63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63"/>
      <c r="K144" s="63"/>
      <c r="L144" s="63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63"/>
      <c r="K145" s="63"/>
      <c r="L145" s="63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63"/>
      <c r="K146" s="63"/>
      <c r="L146" s="63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63"/>
      <c r="K147" s="63"/>
      <c r="L147" s="63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63"/>
      <c r="K148" s="63"/>
      <c r="L148" s="63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63"/>
      <c r="K149" s="63"/>
      <c r="L149" s="63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63"/>
      <c r="K150" s="63"/>
      <c r="L150" s="63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63"/>
      <c r="K151" s="63"/>
      <c r="L151" s="63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63"/>
      <c r="K152" s="63"/>
      <c r="L152" s="63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63"/>
      <c r="K153" s="63"/>
      <c r="L153" s="63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63"/>
      <c r="K154" s="63"/>
      <c r="L154" s="63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63"/>
      <c r="K155" s="63"/>
      <c r="L155" s="63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63"/>
      <c r="K156" s="63"/>
      <c r="L156" s="63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63"/>
      <c r="K157" s="63"/>
      <c r="L157" s="63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63"/>
      <c r="K158" s="63"/>
      <c r="L158" s="63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63"/>
      <c r="K159" s="63"/>
      <c r="L159" s="63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63"/>
      <c r="K160" s="63"/>
      <c r="L160" s="63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63"/>
      <c r="K161" s="63"/>
      <c r="L161" s="63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63"/>
      <c r="K162" s="63"/>
      <c r="L162" s="63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63"/>
      <c r="K163" s="63"/>
      <c r="L163" s="63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63"/>
      <c r="K164" s="63"/>
      <c r="L164" s="63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63"/>
      <c r="K165" s="63"/>
      <c r="L165" s="63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63"/>
      <c r="K166" s="63"/>
      <c r="L166" s="63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63"/>
      <c r="K167" s="63"/>
      <c r="L167" s="63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63"/>
      <c r="K168" s="63"/>
      <c r="L168" s="63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63"/>
      <c r="K169" s="63"/>
      <c r="L169" s="63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63"/>
      <c r="K170" s="63"/>
      <c r="L170" s="63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63"/>
      <c r="K171" s="63"/>
      <c r="L171" s="63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63"/>
      <c r="K172" s="63"/>
      <c r="L172" s="63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63"/>
      <c r="K173" s="63"/>
      <c r="L173" s="63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63"/>
      <c r="K174" s="63"/>
      <c r="L174" s="63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63"/>
      <c r="K175" s="63"/>
      <c r="L175" s="63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63"/>
      <c r="K176" s="63"/>
      <c r="L176" s="63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63"/>
      <c r="K177" s="63"/>
      <c r="L177" s="63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63"/>
      <c r="K178" s="63"/>
      <c r="L178" s="63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63"/>
      <c r="K179" s="63"/>
      <c r="L179" s="63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63"/>
      <c r="K180" s="63"/>
      <c r="L180" s="63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63"/>
      <c r="K181" s="63"/>
      <c r="L181" s="63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63"/>
      <c r="K182" s="63"/>
      <c r="L182" s="63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63"/>
      <c r="K183" s="63"/>
      <c r="L183" s="63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63"/>
      <c r="K184" s="63"/>
      <c r="L184" s="63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63"/>
      <c r="K185" s="63"/>
      <c r="L185" s="63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63"/>
      <c r="K186" s="63"/>
      <c r="L186" s="63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63"/>
      <c r="K187" s="63"/>
      <c r="L187" s="63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63"/>
      <c r="K188" s="63"/>
      <c r="L188" s="63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63"/>
      <c r="K189" s="63"/>
      <c r="L189" s="63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63"/>
      <c r="K190" s="63"/>
      <c r="L190" s="63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63"/>
      <c r="K191" s="63"/>
      <c r="L191" s="63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63"/>
      <c r="K192" s="63"/>
      <c r="L192" s="63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63"/>
      <c r="K193" s="63"/>
      <c r="L193" s="63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63"/>
      <c r="K194" s="63"/>
      <c r="L194" s="63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63"/>
      <c r="K195" s="63"/>
      <c r="L195" s="63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63"/>
      <c r="K196" s="63"/>
      <c r="L196" s="63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63"/>
      <c r="K197" s="63"/>
      <c r="L197" s="63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63"/>
      <c r="K198" s="63"/>
      <c r="L198" s="63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63"/>
      <c r="K199" s="63"/>
      <c r="L199" s="63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63"/>
      <c r="K200" s="63"/>
      <c r="L200" s="63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63"/>
      <c r="K201" s="63"/>
      <c r="L201" s="63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63"/>
      <c r="K202" s="63"/>
      <c r="L202" s="63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63"/>
      <c r="K203" s="63"/>
      <c r="L203" s="63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63"/>
      <c r="K204" s="63"/>
      <c r="L204" s="63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63"/>
      <c r="K205" s="63"/>
      <c r="L205" s="63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63"/>
      <c r="K206" s="63"/>
      <c r="L206" s="63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63"/>
      <c r="K207" s="63"/>
      <c r="L207" s="63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63"/>
      <c r="K208" s="63"/>
      <c r="L208" s="63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63"/>
      <c r="K209" s="63"/>
      <c r="L209" s="63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63"/>
      <c r="K210" s="63"/>
      <c r="L210" s="63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63"/>
      <c r="K211" s="63"/>
      <c r="L211" s="63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63"/>
      <c r="K212" s="63"/>
      <c r="L212" s="63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63"/>
      <c r="K213" s="63"/>
      <c r="L213" s="63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63"/>
      <c r="K214" s="63"/>
      <c r="L214" s="63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63"/>
      <c r="K215" s="63"/>
      <c r="L215" s="63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63"/>
      <c r="K216" s="63"/>
      <c r="L216" s="63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63"/>
      <c r="K217" s="63"/>
      <c r="L217" s="63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63"/>
      <c r="K218" s="63"/>
      <c r="L218" s="63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63"/>
      <c r="K219" s="63"/>
      <c r="L219" s="63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63"/>
      <c r="K220" s="63"/>
      <c r="L220" s="63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63"/>
      <c r="K221" s="63"/>
      <c r="L221" s="63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63"/>
      <c r="K222" s="63"/>
      <c r="L222" s="63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63"/>
      <c r="K223" s="63"/>
      <c r="L223" s="63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63"/>
      <c r="K224" s="63"/>
      <c r="L224" s="63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63"/>
      <c r="K225" s="63"/>
      <c r="L225" s="63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63"/>
      <c r="K226" s="63"/>
      <c r="L226" s="63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63"/>
      <c r="K227" s="63"/>
      <c r="L227" s="63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63"/>
      <c r="K228" s="63"/>
      <c r="L228" s="63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63"/>
      <c r="K229" s="63"/>
      <c r="L229" s="63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63"/>
      <c r="K230" s="63"/>
      <c r="L230" s="63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63"/>
      <c r="K231" s="63"/>
      <c r="L231" s="63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63"/>
      <c r="K232" s="63"/>
      <c r="L232" s="63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63"/>
      <c r="K233" s="63"/>
      <c r="L233" s="63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63"/>
      <c r="K234" s="63"/>
      <c r="L234" s="63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63"/>
      <c r="K235" s="63"/>
      <c r="L235" s="63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63"/>
      <c r="K236" s="63"/>
      <c r="L236" s="63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63"/>
      <c r="K237" s="63"/>
      <c r="L237" s="63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63"/>
      <c r="K238" s="63"/>
      <c r="L238" s="63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63"/>
      <c r="K239" s="63"/>
      <c r="L239" s="63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63"/>
      <c r="K240" s="63"/>
      <c r="L240" s="63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63"/>
      <c r="K241" s="63"/>
      <c r="L241" s="63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63"/>
      <c r="K242" s="63"/>
      <c r="L242" s="63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63"/>
      <c r="K243" s="63"/>
      <c r="L243" s="63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63"/>
      <c r="K244" s="63"/>
      <c r="L244" s="63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63"/>
      <c r="K245" s="63"/>
      <c r="L245" s="63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63"/>
      <c r="K246" s="63"/>
      <c r="L246" s="63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63"/>
      <c r="K247" s="63"/>
      <c r="L247" s="63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63"/>
      <c r="K248" s="63"/>
      <c r="L248" s="63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63"/>
      <c r="K249" s="63"/>
      <c r="L249" s="63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63"/>
      <c r="K250" s="63"/>
      <c r="L250" s="63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63"/>
      <c r="K251" s="63"/>
      <c r="L251" s="63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63"/>
      <c r="K252" s="63"/>
      <c r="L252" s="63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63"/>
      <c r="K253" s="63"/>
      <c r="L253" s="63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63"/>
      <c r="K254" s="63"/>
      <c r="L254" s="63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63"/>
      <c r="K255" s="63"/>
      <c r="L255" s="63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63"/>
      <c r="K256" s="63"/>
      <c r="L256" s="63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63"/>
      <c r="K257" s="63"/>
      <c r="L257" s="63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63"/>
      <c r="K258" s="63"/>
      <c r="L258" s="63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63"/>
      <c r="K259" s="63"/>
      <c r="L259" s="63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63"/>
      <c r="K260" s="63"/>
      <c r="L260" s="63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63"/>
      <c r="K261" s="63"/>
      <c r="L261" s="63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63"/>
      <c r="K262" s="63"/>
      <c r="L262" s="63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63"/>
      <c r="K263" s="63"/>
      <c r="L263" s="63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63"/>
      <c r="K264" s="63"/>
      <c r="L264" s="63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63"/>
      <c r="K265" s="63"/>
      <c r="L265" s="63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63"/>
      <c r="K266" s="63"/>
      <c r="L266" s="63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63"/>
      <c r="K267" s="63"/>
      <c r="L267" s="63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63"/>
      <c r="K268" s="63"/>
      <c r="L268" s="63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63"/>
      <c r="K269" s="63"/>
      <c r="L269" s="63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63"/>
      <c r="K270" s="63"/>
      <c r="L270" s="63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63"/>
      <c r="K271" s="63"/>
      <c r="L271" s="63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63"/>
      <c r="K272" s="63"/>
      <c r="L272" s="63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63"/>
      <c r="K273" s="63"/>
      <c r="L273" s="63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63"/>
      <c r="K274" s="63"/>
      <c r="L274" s="63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63"/>
      <c r="K275" s="63"/>
      <c r="L275" s="63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63"/>
      <c r="K276" s="63"/>
      <c r="L276" s="63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63"/>
      <c r="K277" s="63"/>
      <c r="L277" s="63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63"/>
      <c r="K278" s="63"/>
      <c r="L278" s="63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63"/>
      <c r="K279" s="63"/>
      <c r="L279" s="63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63"/>
      <c r="K280" s="63"/>
      <c r="L280" s="63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63"/>
      <c r="K281" s="63"/>
      <c r="L281" s="63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63"/>
      <c r="K282" s="63"/>
      <c r="L282" s="63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63"/>
      <c r="K283" s="63"/>
      <c r="L283" s="63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63"/>
      <c r="K284" s="63"/>
      <c r="L284" s="63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63"/>
      <c r="K285" s="63"/>
      <c r="L285" s="63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63"/>
      <c r="K286" s="63"/>
      <c r="L286" s="63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63"/>
      <c r="K287" s="63"/>
      <c r="L287" s="63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63"/>
      <c r="K288" s="63"/>
      <c r="L288" s="63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63"/>
      <c r="K289" s="63"/>
      <c r="L289" s="63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63"/>
      <c r="K290" s="63"/>
      <c r="L290" s="63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63"/>
      <c r="K291" s="63"/>
      <c r="L291" s="63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63"/>
      <c r="K292" s="63"/>
      <c r="L292" s="63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63"/>
      <c r="K293" s="63"/>
      <c r="L293" s="63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63"/>
      <c r="K294" s="63"/>
      <c r="L294" s="63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63"/>
      <c r="K295" s="63"/>
      <c r="L295" s="63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63"/>
      <c r="K296" s="63"/>
      <c r="L296" s="63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63"/>
      <c r="K297" s="63"/>
      <c r="L297" s="63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63"/>
      <c r="K298" s="63"/>
      <c r="L298" s="63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63"/>
      <c r="K299" s="63"/>
      <c r="L299" s="63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63"/>
      <c r="K300" s="63"/>
      <c r="L300" s="63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63"/>
      <c r="K301" s="63"/>
      <c r="L301" s="63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63"/>
      <c r="K302" s="63"/>
      <c r="L302" s="63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63"/>
      <c r="K303" s="63"/>
      <c r="L303" s="63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63"/>
      <c r="K304" s="63"/>
      <c r="L304" s="63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63"/>
      <c r="K305" s="63"/>
      <c r="L305" s="63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63"/>
      <c r="K306" s="63"/>
      <c r="L306" s="63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63"/>
      <c r="K307" s="63"/>
      <c r="L307" s="63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63"/>
      <c r="K308" s="63"/>
      <c r="L308" s="63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63"/>
      <c r="K309" s="63"/>
      <c r="L309" s="63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63"/>
      <c r="K310" s="63"/>
      <c r="L310" s="63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63"/>
      <c r="K311" s="63"/>
      <c r="L311" s="63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63"/>
      <c r="K312" s="63"/>
      <c r="L312" s="63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63"/>
      <c r="K313" s="63"/>
      <c r="L313" s="63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63"/>
      <c r="K314" s="63"/>
      <c r="L314" s="63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63"/>
      <c r="K315" s="63"/>
      <c r="L315" s="63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63"/>
      <c r="K316" s="63"/>
      <c r="L316" s="63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63"/>
      <c r="K317" s="63"/>
      <c r="L317" s="63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63"/>
      <c r="K318" s="63"/>
      <c r="L318" s="63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63"/>
      <c r="K319" s="63"/>
      <c r="L319" s="63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63"/>
      <c r="K320" s="63"/>
      <c r="L320" s="63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63"/>
      <c r="K321" s="63"/>
      <c r="L321" s="63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63"/>
      <c r="K322" s="63"/>
      <c r="L322" s="63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63"/>
      <c r="K323" s="63"/>
      <c r="L323" s="63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63"/>
      <c r="K324" s="63"/>
      <c r="L324" s="63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63"/>
      <c r="K325" s="63"/>
      <c r="L325" s="63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63"/>
      <c r="K326" s="63"/>
      <c r="L326" s="63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63"/>
      <c r="K327" s="63"/>
      <c r="L327" s="63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63"/>
      <c r="K328" s="63"/>
      <c r="L328" s="63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63"/>
      <c r="K329" s="63"/>
      <c r="L329" s="63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63"/>
      <c r="K330" s="63"/>
      <c r="L330" s="63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63"/>
      <c r="K331" s="63"/>
      <c r="L331" s="63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63"/>
      <c r="K332" s="63"/>
      <c r="L332" s="63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63"/>
      <c r="K333" s="63"/>
      <c r="L333" s="63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63"/>
      <c r="K334" s="63"/>
      <c r="L334" s="63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63"/>
      <c r="K335" s="63"/>
      <c r="L335" s="63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63"/>
      <c r="K336" s="63"/>
      <c r="L336" s="63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63"/>
      <c r="K337" s="63"/>
      <c r="L337" s="63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63"/>
      <c r="K338" s="63"/>
      <c r="L338" s="63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63"/>
      <c r="K339" s="63"/>
      <c r="L339" s="63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63"/>
      <c r="K340" s="63"/>
      <c r="L340" s="63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63"/>
      <c r="K341" s="63"/>
      <c r="L341" s="63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63"/>
      <c r="K342" s="63"/>
      <c r="L342" s="63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63"/>
      <c r="K343" s="63"/>
      <c r="L343" s="63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63"/>
      <c r="K344" s="63"/>
      <c r="L344" s="63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63"/>
      <c r="K345" s="63"/>
      <c r="L345" s="63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63"/>
      <c r="K346" s="63"/>
      <c r="L346" s="63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63"/>
      <c r="K347" s="63"/>
      <c r="L347" s="63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63"/>
      <c r="K348" s="63"/>
      <c r="L348" s="63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63"/>
      <c r="K349" s="63"/>
      <c r="L349" s="63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63"/>
      <c r="K350" s="63"/>
      <c r="L350" s="63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63"/>
      <c r="K351" s="63"/>
      <c r="L351" s="63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63"/>
      <c r="K352" s="63"/>
      <c r="L352" s="63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63"/>
      <c r="K353" s="63"/>
      <c r="L353" s="63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63"/>
      <c r="K354" s="63"/>
      <c r="L354" s="63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63"/>
      <c r="K355" s="63"/>
      <c r="L355" s="63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63"/>
      <c r="K356" s="63"/>
      <c r="L356" s="63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63"/>
      <c r="K357" s="63"/>
      <c r="L357" s="63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63"/>
      <c r="K358" s="63"/>
      <c r="L358" s="63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63"/>
      <c r="K359" s="63"/>
      <c r="L359" s="63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63"/>
      <c r="K360" s="63"/>
      <c r="L360" s="63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63"/>
      <c r="K361" s="63"/>
      <c r="L361" s="63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63"/>
      <c r="K362" s="63"/>
      <c r="L362" s="63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63"/>
      <c r="K363" s="63"/>
      <c r="L363" s="63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63"/>
      <c r="K364" s="63"/>
      <c r="L364" s="63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63"/>
      <c r="K365" s="63"/>
      <c r="L365" s="63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63"/>
      <c r="K366" s="63"/>
      <c r="L366" s="63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63"/>
      <c r="K367" s="63"/>
      <c r="L367" s="63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63"/>
      <c r="K368" s="63"/>
      <c r="L368" s="63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63"/>
      <c r="K369" s="63"/>
      <c r="L369" s="63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63"/>
      <c r="K370" s="63"/>
      <c r="L370" s="63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63"/>
      <c r="K371" s="63"/>
      <c r="L371" s="63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63"/>
      <c r="K372" s="63"/>
      <c r="L372" s="63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63"/>
      <c r="K373" s="63"/>
      <c r="L373" s="63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63"/>
      <c r="K374" s="63"/>
      <c r="L374" s="63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63"/>
      <c r="K375" s="63"/>
      <c r="L375" s="63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63"/>
      <c r="K376" s="63"/>
      <c r="L376" s="63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63"/>
      <c r="K377" s="63"/>
      <c r="L377" s="63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63"/>
      <c r="K378" s="63"/>
      <c r="L378" s="63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63"/>
      <c r="K379" s="63"/>
      <c r="L379" s="63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63"/>
      <c r="K380" s="63"/>
      <c r="L380" s="63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63"/>
      <c r="K381" s="63"/>
      <c r="L381" s="63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63"/>
      <c r="K382" s="63"/>
      <c r="L382" s="63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63"/>
      <c r="K383" s="63"/>
      <c r="L383" s="63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63"/>
      <c r="K384" s="63"/>
      <c r="L384" s="63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63"/>
      <c r="K385" s="63"/>
      <c r="L385" s="63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63"/>
      <c r="K386" s="63"/>
      <c r="L386" s="63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63"/>
      <c r="K387" s="63"/>
      <c r="L387" s="63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63"/>
      <c r="K388" s="63"/>
      <c r="L388" s="63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63"/>
      <c r="K389" s="63"/>
      <c r="L389" s="63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63"/>
      <c r="K390" s="63"/>
      <c r="L390" s="63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63"/>
      <c r="K391" s="63"/>
      <c r="L391" s="63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63"/>
      <c r="K392" s="63"/>
      <c r="L392" s="63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63"/>
      <c r="K393" s="63"/>
      <c r="L393" s="63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63"/>
      <c r="K394" s="63"/>
      <c r="L394" s="63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63"/>
      <c r="K395" s="63"/>
      <c r="L395" s="63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63"/>
      <c r="K396" s="63"/>
      <c r="L396" s="63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63"/>
      <c r="K397" s="63"/>
      <c r="L397" s="63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63"/>
      <c r="K398" s="63"/>
      <c r="L398" s="63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63"/>
      <c r="K399" s="63"/>
      <c r="L399" s="63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63"/>
      <c r="K400" s="63"/>
      <c r="L400" s="63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63"/>
      <c r="K401" s="63"/>
      <c r="L401" s="63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63"/>
      <c r="K402" s="63"/>
      <c r="L402" s="63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63"/>
      <c r="K403" s="63"/>
      <c r="L403" s="63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63"/>
      <c r="K404" s="63"/>
      <c r="L404" s="63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63"/>
      <c r="K405" s="63"/>
      <c r="L405" s="63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63"/>
      <c r="K406" s="63"/>
      <c r="L406" s="63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63"/>
      <c r="K407" s="63"/>
      <c r="L407" s="63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63"/>
      <c r="K408" s="63"/>
      <c r="L408" s="63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63"/>
      <c r="K409" s="63"/>
      <c r="L409" s="63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63"/>
      <c r="K410" s="63"/>
      <c r="L410" s="63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63"/>
      <c r="K411" s="63"/>
      <c r="L411" s="63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63"/>
      <c r="K412" s="63"/>
      <c r="L412" s="63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63"/>
      <c r="K413" s="63"/>
      <c r="L413" s="63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63"/>
      <c r="K414" s="63"/>
      <c r="L414" s="63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63"/>
      <c r="K415" s="63"/>
      <c r="L415" s="63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63"/>
      <c r="K416" s="63"/>
      <c r="L416" s="63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63"/>
      <c r="K417" s="63"/>
      <c r="L417" s="63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63"/>
      <c r="K418" s="63"/>
      <c r="L418" s="63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63"/>
      <c r="K419" s="63"/>
      <c r="L419" s="63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63"/>
      <c r="K420" s="63"/>
      <c r="L420" s="63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63"/>
      <c r="K421" s="63"/>
      <c r="L421" s="63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63"/>
      <c r="K422" s="63"/>
      <c r="L422" s="63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63"/>
      <c r="K423" s="63"/>
      <c r="L423" s="63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63"/>
      <c r="K424" s="63"/>
      <c r="L424" s="63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63"/>
      <c r="K425" s="63"/>
      <c r="L425" s="63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63"/>
      <c r="K426" s="63"/>
      <c r="L426" s="63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63"/>
      <c r="K427" s="63"/>
      <c r="L427" s="63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63"/>
      <c r="K428" s="63"/>
      <c r="L428" s="63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63"/>
      <c r="K429" s="63"/>
      <c r="L429" s="63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63"/>
      <c r="K430" s="63"/>
      <c r="L430" s="63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63"/>
      <c r="K431" s="63"/>
      <c r="L431" s="63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63"/>
      <c r="K432" s="63"/>
      <c r="L432" s="63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63"/>
      <c r="K433" s="63"/>
      <c r="L433" s="63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63"/>
      <c r="K434" s="63"/>
      <c r="L434" s="63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63"/>
      <c r="K435" s="63"/>
      <c r="L435" s="63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63"/>
      <c r="K436" s="63"/>
      <c r="L436" s="63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63"/>
      <c r="K437" s="63"/>
      <c r="L437" s="63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63"/>
      <c r="K438" s="63"/>
      <c r="L438" s="63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63"/>
      <c r="K439" s="63"/>
      <c r="L439" s="63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63"/>
      <c r="K440" s="63"/>
      <c r="L440" s="63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63"/>
      <c r="K441" s="63"/>
      <c r="L441" s="63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63"/>
      <c r="K442" s="63"/>
      <c r="L442" s="63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63"/>
      <c r="K443" s="63"/>
      <c r="L443" s="63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63"/>
      <c r="K444" s="63"/>
      <c r="L444" s="63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63"/>
      <c r="K445" s="63"/>
      <c r="L445" s="63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63"/>
      <c r="K446" s="63"/>
      <c r="L446" s="63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63"/>
      <c r="K447" s="63"/>
      <c r="L447" s="63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63"/>
      <c r="K448" s="63"/>
      <c r="L448" s="63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63"/>
      <c r="K449" s="63"/>
      <c r="L449" s="63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63"/>
      <c r="K450" s="63"/>
      <c r="L450" s="63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63"/>
      <c r="K451" s="63"/>
      <c r="L451" s="63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63"/>
      <c r="K452" s="63"/>
      <c r="L452" s="63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63"/>
      <c r="K453" s="63"/>
      <c r="L453" s="63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63"/>
      <c r="K454" s="63"/>
      <c r="L454" s="63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63"/>
      <c r="K455" s="63"/>
      <c r="L455" s="63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63"/>
      <c r="K456" s="63"/>
      <c r="L456" s="63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63"/>
      <c r="K457" s="63"/>
      <c r="L457" s="63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63"/>
      <c r="K458" s="63"/>
      <c r="L458" s="63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63"/>
      <c r="K459" s="63"/>
      <c r="L459" s="63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63"/>
      <c r="K460" s="63"/>
      <c r="L460" s="63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63"/>
      <c r="K461" s="63"/>
      <c r="L461" s="63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63"/>
      <c r="K462" s="63"/>
      <c r="L462" s="63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63"/>
      <c r="K463" s="63"/>
      <c r="L463" s="63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63"/>
      <c r="K464" s="63"/>
      <c r="L464" s="63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63"/>
      <c r="K465" s="63"/>
      <c r="L465" s="63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63"/>
      <c r="K466" s="63"/>
      <c r="L466" s="63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63"/>
      <c r="K467" s="63"/>
      <c r="L467" s="63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63"/>
      <c r="K468" s="63"/>
      <c r="L468" s="63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63"/>
      <c r="K469" s="63"/>
      <c r="L469" s="63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63"/>
      <c r="K470" s="63"/>
      <c r="L470" s="63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63"/>
      <c r="K471" s="63"/>
      <c r="L471" s="63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63"/>
      <c r="K472" s="63"/>
      <c r="L472" s="63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63"/>
      <c r="K473" s="63"/>
      <c r="L473" s="63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63"/>
      <c r="K474" s="63"/>
      <c r="L474" s="63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63"/>
      <c r="K475" s="63"/>
      <c r="L475" s="63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63"/>
      <c r="K476" s="63"/>
      <c r="L476" s="63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63"/>
      <c r="K477" s="63"/>
      <c r="L477" s="63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63"/>
      <c r="K478" s="63"/>
      <c r="L478" s="63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63"/>
      <c r="K479" s="63"/>
      <c r="L479" s="63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63"/>
      <c r="K480" s="63"/>
      <c r="L480" s="63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63"/>
      <c r="K481" s="63"/>
      <c r="L481" s="63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63"/>
      <c r="K482" s="63"/>
      <c r="L482" s="63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63"/>
      <c r="K483" s="63"/>
      <c r="L483" s="63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63"/>
      <c r="K484" s="63"/>
      <c r="L484" s="63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63"/>
      <c r="K485" s="63"/>
      <c r="L485" s="63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63"/>
      <c r="K486" s="63"/>
      <c r="L486" s="63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63"/>
      <c r="K487" s="63"/>
      <c r="L487" s="63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63"/>
      <c r="K488" s="63"/>
      <c r="L488" s="63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63"/>
      <c r="K489" s="63"/>
      <c r="L489" s="63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63"/>
      <c r="K490" s="63"/>
      <c r="L490" s="63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63"/>
      <c r="K491" s="63"/>
      <c r="L491" s="63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63"/>
      <c r="K492" s="63"/>
      <c r="L492" s="63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63"/>
      <c r="K493" s="63"/>
      <c r="L493" s="63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63"/>
      <c r="K494" s="63"/>
      <c r="L494" s="63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63"/>
      <c r="K495" s="63"/>
      <c r="L495" s="63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63"/>
      <c r="K496" s="63"/>
      <c r="L496" s="63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63"/>
      <c r="K497" s="63"/>
      <c r="L497" s="63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63"/>
      <c r="K498" s="63"/>
      <c r="L498" s="63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63"/>
      <c r="K499" s="63"/>
      <c r="L499" s="63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63"/>
      <c r="K500" s="63"/>
      <c r="L500" s="63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63"/>
      <c r="K501" s="63"/>
      <c r="L501" s="63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63"/>
      <c r="K502" s="63"/>
      <c r="L502" s="63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63"/>
      <c r="K503" s="63"/>
      <c r="L503" s="63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63"/>
      <c r="K504" s="63"/>
      <c r="L504" s="63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63"/>
      <c r="K505" s="63"/>
      <c r="L505" s="63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63"/>
      <c r="K506" s="63"/>
      <c r="L506" s="63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63"/>
      <c r="K507" s="63"/>
      <c r="L507" s="63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63"/>
      <c r="K508" s="63"/>
      <c r="L508" s="63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63"/>
      <c r="K509" s="63"/>
      <c r="L509" s="63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63"/>
      <c r="K510" s="63"/>
      <c r="L510" s="63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63"/>
      <c r="K511" s="63"/>
      <c r="L511" s="63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63"/>
      <c r="K512" s="63"/>
      <c r="L512" s="63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63"/>
      <c r="K513" s="63"/>
      <c r="L513" s="63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63"/>
      <c r="K514" s="63"/>
      <c r="L514" s="63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63"/>
      <c r="K515" s="63"/>
      <c r="L515" s="63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63"/>
      <c r="K516" s="63"/>
      <c r="L516" s="63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63"/>
      <c r="K517" s="63"/>
      <c r="L517" s="63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63"/>
      <c r="K518" s="63"/>
      <c r="L518" s="63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63"/>
      <c r="K519" s="63"/>
      <c r="L519" s="63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63"/>
      <c r="K520" s="63"/>
      <c r="L520" s="63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63"/>
      <c r="K521" s="63"/>
      <c r="L521" s="63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63"/>
      <c r="K522" s="63"/>
      <c r="L522" s="63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63"/>
      <c r="K523" s="63"/>
      <c r="L523" s="63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63"/>
      <c r="K524" s="63"/>
      <c r="L524" s="63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63"/>
      <c r="K525" s="63"/>
      <c r="L525" s="63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63"/>
      <c r="K526" s="63"/>
      <c r="L526" s="63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63"/>
      <c r="K527" s="63"/>
      <c r="L527" s="63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63"/>
      <c r="K528" s="63"/>
      <c r="L528" s="63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63"/>
      <c r="K529" s="63"/>
      <c r="L529" s="63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63"/>
      <c r="K530" s="63"/>
      <c r="L530" s="63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63"/>
      <c r="K531" s="63"/>
      <c r="L531" s="63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63"/>
      <c r="K532" s="63"/>
      <c r="L532" s="63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63"/>
      <c r="K533" s="63"/>
      <c r="L533" s="63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63"/>
      <c r="K534" s="63"/>
      <c r="L534" s="63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63"/>
      <c r="K535" s="63"/>
      <c r="L535" s="63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63"/>
      <c r="K536" s="63"/>
      <c r="L536" s="63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63"/>
      <c r="K537" s="63"/>
      <c r="L537" s="63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63"/>
      <c r="K538" s="63"/>
      <c r="L538" s="63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63"/>
      <c r="K539" s="63"/>
      <c r="L539" s="63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63"/>
      <c r="K540" s="63"/>
      <c r="L540" s="63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63"/>
      <c r="K541" s="63"/>
      <c r="L541" s="63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63"/>
      <c r="K542" s="63"/>
      <c r="L542" s="63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63"/>
      <c r="K543" s="63"/>
      <c r="L543" s="63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63"/>
      <c r="K544" s="63"/>
      <c r="L544" s="63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63"/>
      <c r="K545" s="63"/>
      <c r="L545" s="63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63"/>
      <c r="K546" s="63"/>
      <c r="L546" s="63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63"/>
      <c r="K547" s="63"/>
      <c r="L547" s="63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63"/>
      <c r="K548" s="63"/>
      <c r="L548" s="63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63"/>
      <c r="K549" s="63"/>
      <c r="L549" s="63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63"/>
      <c r="K550" s="63"/>
      <c r="L550" s="63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63"/>
      <c r="K551" s="63"/>
      <c r="L551" s="63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63"/>
      <c r="K552" s="63"/>
      <c r="L552" s="63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63"/>
      <c r="K553" s="63"/>
      <c r="L553" s="63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63"/>
      <c r="K554" s="63"/>
      <c r="L554" s="63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63"/>
      <c r="K555" s="63"/>
      <c r="L555" s="63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63"/>
      <c r="K556" s="63"/>
      <c r="L556" s="63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63"/>
      <c r="K557" s="63"/>
      <c r="L557" s="63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63"/>
      <c r="K558" s="63"/>
      <c r="L558" s="63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63"/>
      <c r="K559" s="63"/>
      <c r="L559" s="63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63"/>
      <c r="K560" s="63"/>
      <c r="L560" s="63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63"/>
      <c r="K561" s="63"/>
      <c r="L561" s="63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63"/>
      <c r="K562" s="63"/>
      <c r="L562" s="63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63"/>
      <c r="K563" s="63"/>
      <c r="L563" s="63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63"/>
      <c r="K564" s="63"/>
      <c r="L564" s="63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63"/>
      <c r="K565" s="63"/>
      <c r="L565" s="63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63"/>
      <c r="K566" s="63"/>
      <c r="L566" s="63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63"/>
      <c r="K567" s="63"/>
      <c r="L567" s="63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63"/>
      <c r="K568" s="63"/>
      <c r="L568" s="63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63"/>
      <c r="K569" s="63"/>
      <c r="L569" s="63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63"/>
      <c r="K570" s="63"/>
      <c r="L570" s="63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63"/>
      <c r="K571" s="63"/>
      <c r="L571" s="63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63"/>
      <c r="K572" s="63"/>
      <c r="L572" s="63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63"/>
      <c r="K573" s="63"/>
      <c r="L573" s="63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63"/>
      <c r="K574" s="63"/>
      <c r="L574" s="63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63"/>
      <c r="K575" s="63"/>
      <c r="L575" s="63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63"/>
      <c r="K576" s="63"/>
      <c r="L576" s="63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63"/>
      <c r="K577" s="63"/>
      <c r="L577" s="63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63"/>
      <c r="K578" s="63"/>
      <c r="L578" s="63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63"/>
      <c r="K579" s="63"/>
      <c r="L579" s="63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63"/>
      <c r="K580" s="63"/>
      <c r="L580" s="63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63"/>
      <c r="K581" s="63"/>
      <c r="L581" s="63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63"/>
      <c r="K582" s="63"/>
      <c r="L582" s="63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63"/>
      <c r="K583" s="63"/>
      <c r="L583" s="63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63"/>
      <c r="K584" s="63"/>
      <c r="L584" s="63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63"/>
      <c r="K585" s="63"/>
      <c r="L585" s="63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63"/>
      <c r="K586" s="63"/>
      <c r="L586" s="63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63"/>
      <c r="K587" s="63"/>
      <c r="L587" s="63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63"/>
      <c r="K588" s="63"/>
      <c r="L588" s="63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63"/>
      <c r="K589" s="63"/>
      <c r="L589" s="63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63"/>
      <c r="K590" s="63"/>
      <c r="L590" s="63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63"/>
      <c r="K591" s="63"/>
      <c r="L591" s="63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63"/>
      <c r="K592" s="63"/>
      <c r="L592" s="63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63"/>
      <c r="K593" s="63"/>
      <c r="L593" s="63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63"/>
      <c r="K594" s="63"/>
      <c r="L594" s="63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63"/>
      <c r="K595" s="63"/>
      <c r="L595" s="63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63"/>
      <c r="K596" s="63"/>
      <c r="L596" s="63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63"/>
      <c r="K597" s="63"/>
      <c r="L597" s="63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63"/>
      <c r="K598" s="63"/>
      <c r="L598" s="63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63"/>
      <c r="K599" s="63"/>
      <c r="L599" s="63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63"/>
      <c r="K600" s="63"/>
      <c r="L600" s="63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63"/>
      <c r="K601" s="63"/>
      <c r="L601" s="63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63"/>
      <c r="K602" s="63"/>
      <c r="L602" s="63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63"/>
      <c r="K603" s="63"/>
      <c r="L603" s="63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63"/>
      <c r="K604" s="63"/>
      <c r="L604" s="63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63"/>
      <c r="K605" s="63"/>
      <c r="L605" s="63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63"/>
      <c r="K606" s="63"/>
      <c r="L606" s="63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63"/>
      <c r="K607" s="63"/>
      <c r="L607" s="63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63"/>
      <c r="K608" s="63"/>
      <c r="L608" s="63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63"/>
      <c r="K609" s="63"/>
      <c r="L609" s="63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63"/>
      <c r="K610" s="63"/>
      <c r="L610" s="63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63"/>
      <c r="K611" s="63"/>
      <c r="L611" s="63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63"/>
      <c r="K612" s="63"/>
      <c r="L612" s="63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63"/>
      <c r="K613" s="63"/>
      <c r="L613" s="63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63"/>
      <c r="K614" s="63"/>
      <c r="L614" s="63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63"/>
      <c r="K615" s="63"/>
      <c r="L615" s="63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63"/>
      <c r="K616" s="63"/>
      <c r="L616" s="63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63"/>
      <c r="K617" s="63"/>
      <c r="L617" s="63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63"/>
      <c r="K618" s="63"/>
      <c r="L618" s="63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63"/>
      <c r="K619" s="63"/>
      <c r="L619" s="63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63"/>
      <c r="K620" s="63"/>
      <c r="L620" s="63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63"/>
      <c r="K621" s="63"/>
      <c r="L621" s="63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63"/>
      <c r="K622" s="63"/>
      <c r="L622" s="63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63"/>
      <c r="K623" s="63"/>
      <c r="L623" s="63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63"/>
      <c r="K624" s="63"/>
      <c r="L624" s="63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63"/>
      <c r="K625" s="63"/>
      <c r="L625" s="63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63"/>
      <c r="K626" s="63"/>
      <c r="L626" s="63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63"/>
      <c r="K627" s="63"/>
      <c r="L627" s="63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63"/>
      <c r="K628" s="63"/>
      <c r="L628" s="63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63"/>
      <c r="K629" s="63"/>
      <c r="L629" s="63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63"/>
      <c r="K630" s="63"/>
      <c r="L630" s="63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63"/>
      <c r="K631" s="63"/>
      <c r="L631" s="63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63"/>
      <c r="K632" s="63"/>
      <c r="L632" s="63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63"/>
      <c r="K633" s="63"/>
      <c r="L633" s="63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63"/>
      <c r="K634" s="63"/>
      <c r="L634" s="63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63"/>
      <c r="K635" s="63"/>
      <c r="L635" s="63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63"/>
      <c r="K636" s="63"/>
      <c r="L636" s="63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63"/>
      <c r="K637" s="63"/>
      <c r="L637" s="63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63"/>
      <c r="K638" s="63"/>
      <c r="L638" s="63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63"/>
      <c r="K639" s="63"/>
      <c r="L639" s="63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63"/>
      <c r="K640" s="63"/>
      <c r="L640" s="63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63"/>
      <c r="K641" s="63"/>
      <c r="L641" s="63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63"/>
      <c r="K642" s="63"/>
      <c r="L642" s="63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63"/>
      <c r="K643" s="63"/>
      <c r="L643" s="63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63"/>
      <c r="K644" s="63"/>
      <c r="L644" s="63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63"/>
      <c r="K645" s="63"/>
      <c r="L645" s="63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63"/>
      <c r="K646" s="63"/>
      <c r="L646" s="63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63"/>
      <c r="K647" s="63"/>
      <c r="L647" s="63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63"/>
      <c r="K648" s="63"/>
      <c r="L648" s="63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63"/>
      <c r="K649" s="63"/>
      <c r="L649" s="63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63"/>
      <c r="K650" s="63"/>
      <c r="L650" s="63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63"/>
      <c r="K651" s="63"/>
      <c r="L651" s="63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63"/>
      <c r="K652" s="63"/>
      <c r="L652" s="63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63"/>
      <c r="K653" s="63"/>
      <c r="L653" s="63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63"/>
      <c r="K654" s="63"/>
      <c r="L654" s="63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63"/>
      <c r="K655" s="63"/>
      <c r="L655" s="63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63"/>
      <c r="K656" s="63"/>
      <c r="L656" s="63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63"/>
      <c r="K657" s="63"/>
      <c r="L657" s="63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63"/>
      <c r="K658" s="63"/>
      <c r="L658" s="63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63"/>
      <c r="K659" s="63"/>
      <c r="L659" s="63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63"/>
      <c r="K660" s="63"/>
      <c r="L660" s="63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63"/>
      <c r="K661" s="63"/>
      <c r="L661" s="63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63"/>
      <c r="K662" s="63"/>
      <c r="L662" s="63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63"/>
      <c r="K663" s="63"/>
      <c r="L663" s="63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63"/>
      <c r="K664" s="63"/>
      <c r="L664" s="63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63"/>
      <c r="K665" s="63"/>
      <c r="L665" s="63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63"/>
      <c r="K666" s="63"/>
      <c r="L666" s="63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63"/>
      <c r="K667" s="63"/>
      <c r="L667" s="63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63"/>
      <c r="K668" s="63"/>
      <c r="L668" s="63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63"/>
      <c r="K669" s="63"/>
      <c r="L669" s="63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63"/>
      <c r="K670" s="63"/>
      <c r="L670" s="63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63"/>
      <c r="K671" s="63"/>
      <c r="L671" s="63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63"/>
      <c r="K672" s="63"/>
      <c r="L672" s="63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63"/>
      <c r="K673" s="63"/>
      <c r="L673" s="63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63"/>
      <c r="K674" s="63"/>
      <c r="L674" s="63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63"/>
      <c r="K675" s="63"/>
      <c r="L675" s="63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63"/>
      <c r="K676" s="63"/>
      <c r="L676" s="63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63"/>
      <c r="K677" s="63"/>
      <c r="L677" s="63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63"/>
      <c r="K678" s="63"/>
      <c r="L678" s="63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63"/>
      <c r="K679" s="63"/>
      <c r="L679" s="63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63"/>
      <c r="K680" s="63"/>
      <c r="L680" s="63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63"/>
      <c r="K681" s="63"/>
      <c r="L681" s="63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63"/>
      <c r="K682" s="63"/>
      <c r="L682" s="63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63"/>
      <c r="K683" s="63"/>
      <c r="L683" s="63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63"/>
      <c r="K684" s="63"/>
      <c r="L684" s="63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63"/>
      <c r="K685" s="63"/>
      <c r="L685" s="63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63"/>
      <c r="K686" s="63"/>
      <c r="L686" s="63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63"/>
      <c r="K687" s="63"/>
      <c r="L687" s="63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63"/>
      <c r="K688" s="63"/>
      <c r="L688" s="63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63"/>
      <c r="K689" s="63"/>
      <c r="L689" s="63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63"/>
      <c r="K690" s="63"/>
      <c r="L690" s="63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63"/>
      <c r="K691" s="63"/>
      <c r="L691" s="63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63"/>
      <c r="K692" s="63"/>
      <c r="L692" s="63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63"/>
      <c r="K693" s="63"/>
      <c r="L693" s="63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63"/>
      <c r="K694" s="63"/>
      <c r="L694" s="63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63"/>
      <c r="K695" s="63"/>
      <c r="L695" s="63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63"/>
      <c r="K696" s="63"/>
      <c r="L696" s="63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63"/>
      <c r="K697" s="63"/>
      <c r="L697" s="63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63"/>
      <c r="K698" s="63"/>
      <c r="L698" s="63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63"/>
      <c r="K699" s="63"/>
      <c r="L699" s="63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63"/>
      <c r="K700" s="63"/>
      <c r="L700" s="63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63"/>
      <c r="K701" s="63"/>
      <c r="L701" s="63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63"/>
      <c r="K702" s="63"/>
      <c r="L702" s="63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63"/>
      <c r="K703" s="63"/>
      <c r="L703" s="63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63"/>
      <c r="K704" s="63"/>
      <c r="L704" s="63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63"/>
      <c r="K705" s="63"/>
      <c r="L705" s="63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63"/>
      <c r="K706" s="63"/>
      <c r="L706" s="63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63"/>
      <c r="K707" s="63"/>
      <c r="L707" s="63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63"/>
      <c r="K708" s="63"/>
      <c r="L708" s="63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63"/>
      <c r="K709" s="63"/>
      <c r="L709" s="63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63"/>
      <c r="K710" s="63"/>
      <c r="L710" s="63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63"/>
      <c r="K711" s="63"/>
      <c r="L711" s="63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63"/>
      <c r="K712" s="63"/>
      <c r="L712" s="63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63"/>
      <c r="K713" s="63"/>
      <c r="L713" s="63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63"/>
      <c r="K714" s="63"/>
      <c r="L714" s="63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63"/>
      <c r="K715" s="63"/>
      <c r="L715" s="63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63"/>
      <c r="K716" s="63"/>
      <c r="L716" s="63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63"/>
      <c r="K717" s="63"/>
      <c r="L717" s="63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63"/>
      <c r="K718" s="63"/>
      <c r="L718" s="63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63"/>
      <c r="K719" s="63"/>
      <c r="L719" s="63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63"/>
      <c r="K720" s="63"/>
      <c r="L720" s="63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63"/>
      <c r="K721" s="63"/>
      <c r="L721" s="63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63"/>
      <c r="K722" s="63"/>
      <c r="L722" s="63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63"/>
      <c r="K723" s="63"/>
      <c r="L723" s="63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63"/>
      <c r="K724" s="63"/>
      <c r="L724" s="63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63"/>
      <c r="K725" s="63"/>
      <c r="L725" s="63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63"/>
      <c r="K726" s="63"/>
      <c r="L726" s="63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63"/>
      <c r="K727" s="63"/>
      <c r="L727" s="63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63"/>
      <c r="K728" s="63"/>
      <c r="L728" s="63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63"/>
      <c r="K729" s="63"/>
      <c r="L729" s="63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63"/>
      <c r="K730" s="63"/>
      <c r="L730" s="63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63"/>
      <c r="K731" s="63"/>
      <c r="L731" s="63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63"/>
      <c r="K732" s="63"/>
      <c r="L732" s="63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63"/>
      <c r="K733" s="63"/>
      <c r="L733" s="63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63"/>
      <c r="K734" s="63"/>
      <c r="L734" s="63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63"/>
      <c r="K735" s="63"/>
      <c r="L735" s="63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63"/>
      <c r="K736" s="63"/>
      <c r="L736" s="63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63"/>
      <c r="K737" s="63"/>
      <c r="L737" s="63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63"/>
      <c r="K738" s="63"/>
      <c r="L738" s="63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63"/>
      <c r="K739" s="63"/>
      <c r="L739" s="63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63"/>
      <c r="K740" s="63"/>
      <c r="L740" s="63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63"/>
      <c r="K741" s="63"/>
      <c r="L741" s="63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63"/>
      <c r="K742" s="63"/>
      <c r="L742" s="63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63"/>
      <c r="K743" s="63"/>
      <c r="L743" s="63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63"/>
      <c r="K744" s="63"/>
      <c r="L744" s="63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63"/>
      <c r="K745" s="63"/>
      <c r="L745" s="63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63"/>
      <c r="K746" s="63"/>
      <c r="L746" s="63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63"/>
      <c r="K747" s="63"/>
      <c r="L747" s="63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63"/>
      <c r="K748" s="63"/>
      <c r="L748" s="63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63"/>
      <c r="K749" s="63"/>
      <c r="L749" s="63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63"/>
      <c r="K750" s="63"/>
      <c r="L750" s="63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63"/>
      <c r="K751" s="63"/>
      <c r="L751" s="63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63"/>
      <c r="K752" s="63"/>
      <c r="L752" s="63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63"/>
      <c r="K753" s="63"/>
      <c r="L753" s="63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63"/>
      <c r="K754" s="63"/>
      <c r="L754" s="63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63"/>
      <c r="K755" s="63"/>
      <c r="L755" s="63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63"/>
      <c r="K756" s="63"/>
      <c r="L756" s="63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63"/>
      <c r="K757" s="63"/>
      <c r="L757" s="63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63"/>
      <c r="K758" s="63"/>
      <c r="L758" s="63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63"/>
      <c r="K759" s="63"/>
      <c r="L759" s="63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63"/>
      <c r="K760" s="63"/>
      <c r="L760" s="63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63"/>
      <c r="K761" s="63"/>
      <c r="L761" s="63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63"/>
      <c r="K762" s="63"/>
      <c r="L762" s="63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63"/>
      <c r="K763" s="63"/>
      <c r="L763" s="63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63"/>
      <c r="K764" s="63"/>
      <c r="L764" s="63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63"/>
      <c r="K765" s="63"/>
      <c r="L765" s="63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63"/>
      <c r="K766" s="63"/>
      <c r="L766" s="63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63"/>
      <c r="K767" s="63"/>
      <c r="L767" s="63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63"/>
      <c r="K768" s="63"/>
      <c r="L768" s="63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63"/>
      <c r="K769" s="63"/>
      <c r="L769" s="63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63"/>
      <c r="K770" s="63"/>
      <c r="L770" s="63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63"/>
      <c r="K771" s="63"/>
      <c r="L771" s="63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63"/>
      <c r="K772" s="63"/>
      <c r="L772" s="63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63"/>
      <c r="K773" s="63"/>
      <c r="L773" s="63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63"/>
      <c r="K774" s="63"/>
      <c r="L774" s="63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63"/>
      <c r="K775" s="63"/>
      <c r="L775" s="63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63"/>
      <c r="K776" s="63"/>
      <c r="L776" s="63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63"/>
      <c r="K777" s="63"/>
      <c r="L777" s="63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63"/>
      <c r="K778" s="63"/>
      <c r="L778" s="63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63"/>
      <c r="K779" s="63"/>
      <c r="L779" s="63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63"/>
      <c r="K780" s="63"/>
      <c r="L780" s="63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63"/>
      <c r="K781" s="63"/>
      <c r="L781" s="63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63"/>
      <c r="K782" s="63"/>
      <c r="L782" s="63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63"/>
      <c r="K783" s="63"/>
      <c r="L783" s="63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63"/>
      <c r="K784" s="63"/>
      <c r="L784" s="63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63"/>
      <c r="K785" s="63"/>
      <c r="L785" s="63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63"/>
      <c r="K786" s="63"/>
      <c r="L786" s="63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63"/>
      <c r="K787" s="63"/>
      <c r="L787" s="63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63"/>
      <c r="K788" s="63"/>
      <c r="L788" s="63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63"/>
      <c r="K789" s="63"/>
      <c r="L789" s="63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63"/>
      <c r="K790" s="63"/>
      <c r="L790" s="63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63"/>
      <c r="K791" s="63"/>
      <c r="L791" s="63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63"/>
      <c r="K792" s="63"/>
      <c r="L792" s="63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63"/>
      <c r="K793" s="63"/>
      <c r="L793" s="63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63"/>
      <c r="K794" s="63"/>
      <c r="L794" s="63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63"/>
      <c r="K795" s="63"/>
      <c r="L795" s="63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63"/>
      <c r="K796" s="63"/>
      <c r="L796" s="63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63"/>
      <c r="K797" s="63"/>
      <c r="L797" s="63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63"/>
      <c r="K798" s="63"/>
      <c r="L798" s="63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63"/>
      <c r="K799" s="63"/>
      <c r="L799" s="63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63"/>
      <c r="K800" s="63"/>
      <c r="L800" s="63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63"/>
      <c r="K801" s="63"/>
      <c r="L801" s="63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63"/>
      <c r="K802" s="63"/>
      <c r="L802" s="63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63"/>
      <c r="K803" s="63"/>
      <c r="L803" s="63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63"/>
      <c r="K804" s="63"/>
      <c r="L804" s="63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63"/>
      <c r="K805" s="63"/>
      <c r="L805" s="63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63"/>
      <c r="K806" s="63"/>
      <c r="L806" s="63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63"/>
      <c r="K807" s="63"/>
      <c r="L807" s="63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63"/>
      <c r="K808" s="63"/>
      <c r="L808" s="63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63"/>
      <c r="K809" s="63"/>
      <c r="L809" s="63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63"/>
      <c r="K810" s="63"/>
      <c r="L810" s="63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63"/>
      <c r="K811" s="63"/>
      <c r="L811" s="63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63"/>
      <c r="K812" s="63"/>
      <c r="L812" s="63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63"/>
      <c r="K813" s="63"/>
      <c r="L813" s="63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63"/>
      <c r="K814" s="63"/>
      <c r="L814" s="63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63"/>
      <c r="K815" s="63"/>
      <c r="L815" s="63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63"/>
      <c r="K816" s="63"/>
      <c r="L816" s="63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63"/>
      <c r="K817" s="63"/>
      <c r="L817" s="63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63"/>
      <c r="K818" s="63"/>
      <c r="L818" s="63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63"/>
      <c r="K819" s="63"/>
      <c r="L819" s="63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63"/>
      <c r="K820" s="63"/>
      <c r="L820" s="63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63"/>
      <c r="K821" s="63"/>
      <c r="L821" s="63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63"/>
      <c r="K822" s="63"/>
      <c r="L822" s="63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63"/>
      <c r="K823" s="63"/>
      <c r="L823" s="63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63"/>
      <c r="K824" s="63"/>
      <c r="L824" s="63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63"/>
      <c r="K825" s="63"/>
      <c r="L825" s="63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63"/>
      <c r="K826" s="63"/>
      <c r="L826" s="63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63"/>
      <c r="K827" s="63"/>
      <c r="L827" s="63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63"/>
      <c r="K828" s="63"/>
      <c r="L828" s="63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63"/>
      <c r="K829" s="63"/>
      <c r="L829" s="63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63"/>
      <c r="K830" s="63"/>
      <c r="L830" s="63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63"/>
      <c r="K831" s="63"/>
      <c r="L831" s="63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63"/>
      <c r="K832" s="63"/>
      <c r="L832" s="63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63"/>
      <c r="K833" s="63"/>
      <c r="L833" s="63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63"/>
      <c r="K834" s="63"/>
      <c r="L834" s="63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63"/>
      <c r="K835" s="63"/>
      <c r="L835" s="63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63"/>
      <c r="K836" s="63"/>
      <c r="L836" s="63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63"/>
      <c r="K837" s="63"/>
      <c r="L837" s="63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63"/>
      <c r="K838" s="63"/>
      <c r="L838" s="63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63"/>
      <c r="K839" s="63"/>
      <c r="L839" s="63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63"/>
      <c r="K840" s="63"/>
      <c r="L840" s="63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63"/>
      <c r="K841" s="63"/>
      <c r="L841" s="63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63"/>
      <c r="K842" s="63"/>
      <c r="L842" s="63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63"/>
      <c r="K843" s="63"/>
      <c r="L843" s="63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63"/>
      <c r="K844" s="63"/>
      <c r="L844" s="63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63"/>
      <c r="K845" s="63"/>
      <c r="L845" s="63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63"/>
      <c r="K846" s="63"/>
      <c r="L846" s="63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63"/>
      <c r="K847" s="63"/>
      <c r="L847" s="63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63"/>
      <c r="K848" s="63"/>
      <c r="L848" s="63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63"/>
      <c r="K849" s="63"/>
      <c r="L849" s="63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63"/>
      <c r="K850" s="63"/>
      <c r="L850" s="63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63"/>
      <c r="K851" s="63"/>
      <c r="L851" s="63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63"/>
      <c r="K852" s="63"/>
      <c r="L852" s="63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63"/>
      <c r="K853" s="63"/>
      <c r="L853" s="63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63"/>
      <c r="K854" s="63"/>
      <c r="L854" s="63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63"/>
      <c r="K855" s="63"/>
      <c r="L855" s="63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63"/>
      <c r="K856" s="63"/>
      <c r="L856" s="63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63"/>
      <c r="K857" s="63"/>
      <c r="L857" s="63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63"/>
      <c r="K858" s="63"/>
      <c r="L858" s="63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63"/>
      <c r="K859" s="63"/>
      <c r="L859" s="63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63"/>
      <c r="K860" s="63"/>
      <c r="L860" s="63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63"/>
      <c r="K861" s="63"/>
      <c r="L861" s="63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63"/>
      <c r="K862" s="63"/>
      <c r="L862" s="63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63"/>
      <c r="K863" s="63"/>
      <c r="L863" s="63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63"/>
      <c r="K864" s="63"/>
      <c r="L864" s="63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63"/>
      <c r="K865" s="63"/>
      <c r="L865" s="63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63"/>
      <c r="K866" s="63"/>
      <c r="L866" s="63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63"/>
      <c r="K867" s="63"/>
      <c r="L867" s="63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63"/>
      <c r="K868" s="63"/>
      <c r="L868" s="63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63"/>
      <c r="K869" s="63"/>
      <c r="L869" s="63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63"/>
      <c r="K870" s="63"/>
      <c r="L870" s="63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63"/>
      <c r="K871" s="63"/>
      <c r="L871" s="63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63"/>
      <c r="K872" s="63"/>
      <c r="L872" s="63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63"/>
      <c r="K873" s="63"/>
      <c r="L873" s="63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63"/>
      <c r="K874" s="63"/>
      <c r="L874" s="63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63"/>
      <c r="K875" s="63"/>
      <c r="L875" s="63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63"/>
      <c r="K876" s="63"/>
      <c r="L876" s="63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63"/>
      <c r="K877" s="63"/>
      <c r="L877" s="63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63"/>
      <c r="K878" s="63"/>
      <c r="L878" s="63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63"/>
      <c r="K879" s="63"/>
      <c r="L879" s="63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63"/>
      <c r="K880" s="63"/>
      <c r="L880" s="63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63"/>
      <c r="K881" s="63"/>
      <c r="L881" s="63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63"/>
      <c r="K882" s="63"/>
      <c r="L882" s="63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63"/>
      <c r="K883" s="63"/>
      <c r="L883" s="63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63"/>
      <c r="K884" s="63"/>
      <c r="L884" s="63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63"/>
      <c r="K885" s="63"/>
      <c r="L885" s="63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63"/>
      <c r="K886" s="63"/>
      <c r="L886" s="63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63"/>
      <c r="K887" s="63"/>
      <c r="L887" s="63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63"/>
      <c r="K888" s="63"/>
      <c r="L888" s="63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63"/>
      <c r="K889" s="63"/>
      <c r="L889" s="63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63"/>
      <c r="K890" s="63"/>
      <c r="L890" s="63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63"/>
      <c r="K891" s="63"/>
      <c r="L891" s="63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63"/>
      <c r="K892" s="63"/>
      <c r="L892" s="63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63"/>
      <c r="K893" s="63"/>
      <c r="L893" s="63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63"/>
      <c r="K894" s="63"/>
      <c r="L894" s="63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63"/>
      <c r="K895" s="63"/>
      <c r="L895" s="63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63"/>
      <c r="K896" s="63"/>
      <c r="L896" s="63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63"/>
      <c r="K897" s="63"/>
      <c r="L897" s="63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63"/>
      <c r="K898" s="63"/>
      <c r="L898" s="63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63"/>
      <c r="K899" s="63"/>
      <c r="L899" s="63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63"/>
      <c r="K900" s="63"/>
      <c r="L900" s="63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63"/>
      <c r="K901" s="63"/>
      <c r="L901" s="63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63"/>
      <c r="K902" s="63"/>
      <c r="L902" s="63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63"/>
      <c r="K903" s="63"/>
      <c r="L903" s="63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63"/>
      <c r="K904" s="63"/>
      <c r="L904" s="63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63"/>
      <c r="K905" s="63"/>
      <c r="L905" s="63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63"/>
      <c r="K906" s="63"/>
      <c r="L906" s="63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63"/>
      <c r="K907" s="63"/>
      <c r="L907" s="63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63"/>
      <c r="K908" s="63"/>
      <c r="L908" s="63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63"/>
      <c r="K909" s="63"/>
      <c r="L909" s="63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63"/>
      <c r="K910" s="63"/>
      <c r="L910" s="63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63"/>
      <c r="K911" s="63"/>
      <c r="L911" s="63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63"/>
      <c r="K912" s="63"/>
      <c r="L912" s="63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63"/>
      <c r="K913" s="63"/>
      <c r="L913" s="63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63"/>
      <c r="K914" s="63"/>
      <c r="L914" s="63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63"/>
      <c r="K915" s="63"/>
      <c r="L915" s="63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63"/>
      <c r="K916" s="63"/>
      <c r="L916" s="63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63"/>
      <c r="K917" s="63"/>
      <c r="L917" s="63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63"/>
      <c r="K918" s="63"/>
      <c r="L918" s="63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63"/>
      <c r="K919" s="63"/>
      <c r="L919" s="63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63"/>
      <c r="K920" s="63"/>
      <c r="L920" s="63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63"/>
      <c r="K921" s="63"/>
      <c r="L921" s="63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63"/>
      <c r="K922" s="63"/>
      <c r="L922" s="63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63"/>
      <c r="K923" s="63"/>
      <c r="L923" s="63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63"/>
      <c r="K924" s="63"/>
      <c r="L924" s="63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63"/>
      <c r="K925" s="63"/>
      <c r="L925" s="63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63"/>
      <c r="K926" s="63"/>
      <c r="L926" s="63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63"/>
      <c r="K927" s="63"/>
      <c r="L927" s="63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63"/>
      <c r="K928" s="63"/>
      <c r="L928" s="63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63"/>
      <c r="K929" s="63"/>
      <c r="L929" s="63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63"/>
      <c r="K930" s="63"/>
      <c r="L930" s="63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63"/>
      <c r="K931" s="63"/>
      <c r="L931" s="63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63"/>
      <c r="K932" s="63"/>
      <c r="L932" s="63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63"/>
      <c r="K933" s="63"/>
      <c r="L933" s="63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63"/>
      <c r="K934" s="63"/>
      <c r="L934" s="63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63"/>
      <c r="K935" s="63"/>
      <c r="L935" s="63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63"/>
      <c r="K936" s="63"/>
      <c r="L936" s="63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63"/>
      <c r="K937" s="63"/>
      <c r="L937" s="63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63"/>
      <c r="K938" s="63"/>
      <c r="L938" s="63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63"/>
      <c r="K939" s="63"/>
      <c r="L939" s="63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63"/>
      <c r="K940" s="63"/>
      <c r="L940" s="63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63"/>
      <c r="K941" s="63"/>
      <c r="L941" s="63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63"/>
      <c r="K942" s="63"/>
      <c r="L942" s="63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63"/>
      <c r="K943" s="63"/>
      <c r="L943" s="63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63"/>
      <c r="K944" s="63"/>
      <c r="L944" s="63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63"/>
      <c r="K945" s="63"/>
      <c r="L945" s="63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63"/>
      <c r="K946" s="63"/>
      <c r="L946" s="63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63"/>
      <c r="K947" s="63"/>
      <c r="L947" s="63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63"/>
      <c r="K948" s="63"/>
      <c r="L948" s="63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63"/>
      <c r="K949" s="63"/>
      <c r="L949" s="63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63"/>
      <c r="K950" s="63"/>
      <c r="L950" s="63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63"/>
      <c r="K951" s="63"/>
      <c r="L951" s="63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63"/>
      <c r="K952" s="63"/>
      <c r="L952" s="63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63"/>
      <c r="K953" s="63"/>
      <c r="L953" s="63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63"/>
      <c r="K954" s="63"/>
      <c r="L954" s="63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63"/>
      <c r="K955" s="63"/>
      <c r="L955" s="63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63"/>
      <c r="K956" s="63"/>
      <c r="L956" s="63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63"/>
      <c r="K957" s="63"/>
      <c r="L957" s="63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63"/>
      <c r="K958" s="63"/>
      <c r="L958" s="63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63"/>
      <c r="K959" s="63"/>
      <c r="L959" s="63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63"/>
      <c r="K960" s="63"/>
      <c r="L960" s="63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63"/>
      <c r="K961" s="63"/>
      <c r="L961" s="63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63"/>
      <c r="K962" s="63"/>
      <c r="L962" s="63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63"/>
      <c r="K963" s="63"/>
      <c r="L963" s="63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63"/>
      <c r="K964" s="63"/>
      <c r="L964" s="63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63"/>
      <c r="K965" s="63"/>
      <c r="L965" s="63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63"/>
      <c r="K966" s="63"/>
      <c r="L966" s="63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63"/>
      <c r="K967" s="63"/>
      <c r="L967" s="63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63"/>
      <c r="K968" s="63"/>
      <c r="L968" s="63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63"/>
      <c r="K969" s="63"/>
      <c r="L969" s="63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63"/>
      <c r="K970" s="63"/>
      <c r="L970" s="63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63"/>
      <c r="K971" s="63"/>
      <c r="L971" s="63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63"/>
      <c r="K972" s="63"/>
      <c r="L972" s="63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63"/>
      <c r="K973" s="63"/>
      <c r="L973" s="63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63"/>
      <c r="K974" s="63"/>
      <c r="L974" s="63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63"/>
      <c r="K975" s="63"/>
      <c r="L975" s="63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63"/>
      <c r="K976" s="63"/>
      <c r="L976" s="63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63"/>
      <c r="K977" s="63"/>
      <c r="L977" s="63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63"/>
      <c r="K978" s="63"/>
      <c r="L978" s="63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63"/>
      <c r="K979" s="63"/>
      <c r="L979" s="63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63"/>
      <c r="K980" s="63"/>
      <c r="L980" s="63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63"/>
      <c r="K981" s="63"/>
      <c r="L981" s="63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63"/>
      <c r="K982" s="63"/>
      <c r="L982" s="63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63"/>
      <c r="K983" s="63"/>
      <c r="L983" s="63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63"/>
      <c r="K984" s="63"/>
      <c r="L984" s="63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63"/>
      <c r="K985" s="63"/>
      <c r="L985" s="63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63"/>
      <c r="K986" s="63"/>
      <c r="L986" s="63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63"/>
      <c r="K987" s="63"/>
      <c r="L987" s="63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63"/>
      <c r="K988" s="63"/>
      <c r="L988" s="63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63"/>
      <c r="K989" s="63"/>
      <c r="L989" s="63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63"/>
      <c r="K990" s="63"/>
      <c r="L990" s="63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63"/>
      <c r="K991" s="63"/>
      <c r="L991" s="63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63"/>
      <c r="K992" s="63"/>
      <c r="L992" s="63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63"/>
      <c r="K993" s="63"/>
      <c r="L993" s="63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63"/>
      <c r="K994" s="63"/>
      <c r="L994" s="63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63"/>
      <c r="K995" s="63"/>
      <c r="L995" s="63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63"/>
      <c r="K996" s="63"/>
      <c r="L996" s="63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63"/>
      <c r="K997" s="63"/>
      <c r="L997" s="63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63"/>
      <c r="K998" s="63"/>
      <c r="L998" s="63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63"/>
      <c r="K999" s="63"/>
      <c r="L999" s="63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63"/>
      <c r="K1000" s="63"/>
      <c r="L1000" s="63"/>
      <c r="M1000" s="3"/>
      <c r="N1000" s="3"/>
      <c r="O1000" s="3"/>
      <c r="Q1000" s="4"/>
      <c r="R1000" s="5"/>
      <c r="S1000" s="5"/>
    </row>
  </sheetData>
  <sheetProtection password="CC27" sheet="1" objects="1" scenarios="1"/>
  <mergeCells count="6">
    <mergeCell ref="D37:K37"/>
    <mergeCell ref="B2:S2"/>
    <mergeCell ref="M3:O3"/>
    <mergeCell ref="Q3:S3"/>
    <mergeCell ref="J4:L4"/>
    <mergeCell ref="D35:K35"/>
  </mergeCells>
  <pageMargins left="0.511811024" right="0.511811024" top="0.78740157499999996" bottom="0.7874015749999999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topLeftCell="B1" workbookViewId="0">
      <selection activeCell="E25" sqref="E25"/>
    </sheetView>
  </sheetViews>
  <sheetFormatPr defaultColWidth="14.42578125" defaultRowHeight="15" customHeight="1"/>
  <cols>
    <col min="1" max="1" width="2.7109375" customWidth="1"/>
    <col min="2" max="2" width="7.42578125" customWidth="1"/>
    <col min="3" max="3" width="22.7109375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38.85546875" customWidth="1"/>
    <col min="9" max="9" width="25.5703125" customWidth="1"/>
    <col min="10" max="12" width="9.140625" customWidth="1"/>
    <col min="13" max="13" width="14.28515625" customWidth="1"/>
    <col min="14" max="14" width="14.85546875" customWidth="1"/>
    <col min="15" max="15" width="13.7109375" customWidth="1"/>
    <col min="16" max="16" width="13.5703125" customWidth="1"/>
    <col min="17" max="17" width="16.28515625" customWidth="1"/>
    <col min="18" max="18" width="14.85546875" customWidth="1"/>
    <col min="19" max="19" width="18" customWidth="1"/>
    <col min="20" max="37" width="8.7109375" customWidth="1"/>
  </cols>
  <sheetData>
    <row r="1" spans="1:37">
      <c r="C1" s="1"/>
      <c r="I1" s="2"/>
      <c r="J1" s="63"/>
      <c r="K1" s="63"/>
      <c r="L1" s="63"/>
      <c r="M1" s="3"/>
      <c r="N1" s="3"/>
      <c r="O1" s="3"/>
      <c r="Q1" s="4"/>
      <c r="R1" s="5"/>
      <c r="S1" s="5"/>
    </row>
    <row r="2" spans="1:37">
      <c r="C2" s="1"/>
      <c r="I2" s="2"/>
      <c r="J2" s="63"/>
      <c r="K2" s="63"/>
      <c r="L2" s="63"/>
      <c r="M2" s="3"/>
      <c r="N2" s="3"/>
      <c r="O2" s="3"/>
      <c r="Q2" s="4"/>
      <c r="R2" s="5"/>
      <c r="S2" s="5"/>
    </row>
    <row r="3" spans="1:37" ht="18">
      <c r="A3" s="64"/>
      <c r="B3" s="312" t="s">
        <v>278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2.25" customHeight="1">
      <c r="A4" s="6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14" t="s">
        <v>1</v>
      </c>
      <c r="N4" s="308"/>
      <c r="O4" s="309"/>
      <c r="P4" s="65" t="s">
        <v>34</v>
      </c>
      <c r="Q4" s="315" t="s">
        <v>35</v>
      </c>
      <c r="R4" s="308"/>
      <c r="S4" s="309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5.5">
      <c r="B5" s="66" t="s">
        <v>36</v>
      </c>
      <c r="C5" s="171" t="s">
        <v>37</v>
      </c>
      <c r="D5" s="188" t="s">
        <v>38</v>
      </c>
      <c r="E5" s="66" t="s">
        <v>39</v>
      </c>
      <c r="F5" s="66" t="s">
        <v>40</v>
      </c>
      <c r="G5" s="138" t="s">
        <v>41</v>
      </c>
      <c r="H5" s="66" t="s">
        <v>42</v>
      </c>
      <c r="I5" s="66" t="s">
        <v>43</v>
      </c>
      <c r="J5" s="320" t="s">
        <v>44</v>
      </c>
      <c r="K5" s="308"/>
      <c r="L5" s="309"/>
      <c r="M5" s="140" t="s">
        <v>5</v>
      </c>
      <c r="N5" s="141" t="s">
        <v>6</v>
      </c>
      <c r="O5" s="142" t="s">
        <v>7</v>
      </c>
      <c r="P5" s="142" t="s">
        <v>5</v>
      </c>
      <c r="Q5" s="143" t="s">
        <v>9</v>
      </c>
      <c r="R5" s="144" t="s">
        <v>10</v>
      </c>
      <c r="S5" s="145" t="s">
        <v>46</v>
      </c>
    </row>
    <row r="6" spans="1:37" ht="34.5">
      <c r="A6" s="21"/>
      <c r="B6" s="75">
        <v>1</v>
      </c>
      <c r="C6" s="76" t="s">
        <v>279</v>
      </c>
      <c r="D6" s="84" t="s">
        <v>280</v>
      </c>
      <c r="E6" s="78" t="s">
        <v>929</v>
      </c>
      <c r="F6" s="149" t="s">
        <v>281</v>
      </c>
      <c r="G6" s="149" t="s">
        <v>282</v>
      </c>
      <c r="H6" s="82" t="str">
        <f t="shared" ref="H6:H24" si="0">UPPER(G6)</f>
        <v>MINISTRAR TREINAMENTO TREINAMENTO AGHUSE HOSPITAL DO EXÉRCITO - MÓDULOS EXAMES - IMAGENS</v>
      </c>
      <c r="I6" s="82" t="s">
        <v>72</v>
      </c>
      <c r="J6" s="83">
        <v>43556</v>
      </c>
      <c r="K6" s="84">
        <v>7</v>
      </c>
      <c r="L6" s="84">
        <v>12</v>
      </c>
      <c r="M6" s="274"/>
      <c r="N6" s="274">
        <v>43.11</v>
      </c>
      <c r="O6" s="274"/>
      <c r="P6" s="275">
        <f>40+34.8+36.85+41.78+45+39</f>
        <v>237.43</v>
      </c>
      <c r="Q6" s="276">
        <f>1398.98+1285.39</f>
        <v>2684.37</v>
      </c>
      <c r="R6" s="277">
        <f>1489.25+212.17</f>
        <v>1701.42</v>
      </c>
      <c r="S6" s="278">
        <f t="shared" ref="S6:S24" si="1">M6+N6+O6+P6+Q6+R6</f>
        <v>4666.33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ht="34.5">
      <c r="A7" s="21"/>
      <c r="B7" s="86">
        <v>2</v>
      </c>
      <c r="C7" s="87" t="s">
        <v>283</v>
      </c>
      <c r="D7" s="95" t="s">
        <v>284</v>
      </c>
      <c r="E7" s="89" t="s">
        <v>930</v>
      </c>
      <c r="F7" s="92" t="s">
        <v>285</v>
      </c>
      <c r="G7" s="158" t="s">
        <v>282</v>
      </c>
      <c r="H7" s="93" t="str">
        <f t="shared" si="0"/>
        <v>MINISTRAR TREINAMENTO TREINAMENTO AGHUSE HOSPITAL DO EXÉRCITO - MÓDULOS EXAMES - IMAGENS</v>
      </c>
      <c r="I7" s="93" t="s">
        <v>72</v>
      </c>
      <c r="J7" s="94">
        <v>43556</v>
      </c>
      <c r="K7" s="95">
        <v>7</v>
      </c>
      <c r="L7" s="95">
        <v>12</v>
      </c>
      <c r="M7" s="279"/>
      <c r="N7" s="279">
        <v>83.46</v>
      </c>
      <c r="O7" s="279"/>
      <c r="P7" s="280">
        <f>81+43.23+41.78+42.65+47+35+39.75+31.92+49.32+83.5</f>
        <v>495.15</v>
      </c>
      <c r="Q7" s="281">
        <v>2896.37</v>
      </c>
      <c r="R7" s="282">
        <f>1489.25+336.05</f>
        <v>1825.3</v>
      </c>
      <c r="S7" s="283">
        <f t="shared" si="1"/>
        <v>5300.28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23.25">
      <c r="A8" s="21"/>
      <c r="B8" s="86">
        <v>3</v>
      </c>
      <c r="C8" s="97" t="s">
        <v>286</v>
      </c>
      <c r="D8" s="95" t="s">
        <v>287</v>
      </c>
      <c r="E8" s="89" t="s">
        <v>931</v>
      </c>
      <c r="F8" s="93" t="s">
        <v>288</v>
      </c>
      <c r="G8" s="102" t="s">
        <v>289</v>
      </c>
      <c r="H8" s="93" t="str">
        <f t="shared" si="0"/>
        <v>ASSEMBLEIA GERAL EXTRAORDINÁRIA E ORDINÁRIA</v>
      </c>
      <c r="I8" s="93" t="s">
        <v>290</v>
      </c>
      <c r="J8" s="103">
        <v>43556</v>
      </c>
      <c r="K8" s="95">
        <v>14</v>
      </c>
      <c r="L8" s="95">
        <v>15</v>
      </c>
      <c r="M8" s="279"/>
      <c r="N8" s="279">
        <v>89.92</v>
      </c>
      <c r="O8" s="279"/>
      <c r="P8" s="280">
        <v>0</v>
      </c>
      <c r="Q8" s="281">
        <v>1752.37</v>
      </c>
      <c r="R8" s="282">
        <f>359.7+70.4</f>
        <v>430.1</v>
      </c>
      <c r="S8" s="283">
        <f t="shared" si="1"/>
        <v>2272.39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23.25">
      <c r="A9" s="21"/>
      <c r="B9" s="86">
        <v>4</v>
      </c>
      <c r="C9" s="97" t="s">
        <v>291</v>
      </c>
      <c r="D9" s="95" t="s">
        <v>56</v>
      </c>
      <c r="E9" s="89" t="s">
        <v>905</v>
      </c>
      <c r="F9" s="93" t="s">
        <v>57</v>
      </c>
      <c r="G9" s="102" t="s">
        <v>289</v>
      </c>
      <c r="H9" s="93" t="str">
        <f t="shared" si="0"/>
        <v>ASSEMBLEIA GERAL EXTRAORDINÁRIA E ORDINÁRIA</v>
      </c>
      <c r="I9" s="93" t="s">
        <v>290</v>
      </c>
      <c r="J9" s="103">
        <v>43556</v>
      </c>
      <c r="K9" s="95">
        <v>14</v>
      </c>
      <c r="L9" s="95">
        <v>15</v>
      </c>
      <c r="M9" s="279"/>
      <c r="N9" s="279"/>
      <c r="O9" s="279"/>
      <c r="P9" s="280">
        <v>36</v>
      </c>
      <c r="Q9" s="281">
        <v>1752.37</v>
      </c>
      <c r="R9" s="282">
        <f>359.7+74.15</f>
        <v>433.85</v>
      </c>
      <c r="S9" s="283">
        <f t="shared" si="1"/>
        <v>2222.2199999999998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57">
      <c r="A10" s="21"/>
      <c r="B10" s="86">
        <v>5</v>
      </c>
      <c r="C10" s="97" t="s">
        <v>292</v>
      </c>
      <c r="D10" s="92" t="s">
        <v>293</v>
      </c>
      <c r="E10" s="89" t="s">
        <v>932</v>
      </c>
      <c r="F10" s="92" t="s">
        <v>295</v>
      </c>
      <c r="G10" s="102" t="s">
        <v>296</v>
      </c>
      <c r="H10" s="93" t="str">
        <f t="shared" si="0"/>
        <v>PARTICIPAR DO SEMINÁRIO NACIONAL FISCALIZAÇÃO E GERENCIAMENTO DOS CONTRATOS DE OBRAS PÚBLICAS, QUE SERÁ REALIZADO EM FLORIANÓPOLIS - SC, EM 08 E 09 DE ABRIL DE 2019.</v>
      </c>
      <c r="I10" s="93" t="s">
        <v>297</v>
      </c>
      <c r="J10" s="103">
        <v>43556</v>
      </c>
      <c r="K10" s="95">
        <v>7</v>
      </c>
      <c r="L10" s="95">
        <v>9</v>
      </c>
      <c r="M10" s="279">
        <v>104</v>
      </c>
      <c r="N10" s="279">
        <v>160.43</v>
      </c>
      <c r="O10" s="279"/>
      <c r="P10" s="280">
        <f>14+12</f>
        <v>26</v>
      </c>
      <c r="Q10" s="281">
        <f>672.98+1192.08</f>
        <v>1865.06</v>
      </c>
      <c r="R10" s="282">
        <v>408</v>
      </c>
      <c r="S10" s="283">
        <f t="shared" si="1"/>
        <v>2563.4899999999998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>
      <c r="A11" s="21"/>
      <c r="B11" s="86">
        <v>6</v>
      </c>
      <c r="C11" s="87" t="s">
        <v>298</v>
      </c>
      <c r="D11" s="95" t="s">
        <v>48</v>
      </c>
      <c r="E11" s="89" t="s">
        <v>903</v>
      </c>
      <c r="F11" s="93" t="s">
        <v>177</v>
      </c>
      <c r="G11" s="95" t="s">
        <v>299</v>
      </c>
      <c r="H11" s="93" t="str">
        <f t="shared" si="0"/>
        <v>REUNIÃO DO CONSELHO DIRETOR</v>
      </c>
      <c r="I11" s="95" t="s">
        <v>290</v>
      </c>
      <c r="J11" s="103">
        <v>43557</v>
      </c>
      <c r="K11" s="95">
        <v>22</v>
      </c>
      <c r="L11" s="95">
        <v>22</v>
      </c>
      <c r="M11" s="279"/>
      <c r="N11" s="279"/>
      <c r="O11" s="279"/>
      <c r="P11" s="280">
        <v>0</v>
      </c>
      <c r="Q11" s="281">
        <f>1024.39+1530.98</f>
        <v>2555.37</v>
      </c>
      <c r="R11" s="282">
        <v>0</v>
      </c>
      <c r="S11" s="283">
        <f t="shared" si="1"/>
        <v>2555.37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>
      <c r="A12" s="21"/>
      <c r="B12" s="86">
        <v>7</v>
      </c>
      <c r="C12" s="87" t="s">
        <v>300</v>
      </c>
      <c r="D12" s="95" t="s">
        <v>54</v>
      </c>
      <c r="E12" s="189" t="s">
        <v>933</v>
      </c>
      <c r="F12" s="93" t="s">
        <v>177</v>
      </c>
      <c r="G12" s="95" t="s">
        <v>299</v>
      </c>
      <c r="H12" s="93" t="str">
        <f t="shared" si="0"/>
        <v>REUNIÃO DO CONSELHO DIRETOR</v>
      </c>
      <c r="I12" s="95" t="s">
        <v>290</v>
      </c>
      <c r="J12" s="103">
        <v>43558</v>
      </c>
      <c r="K12" s="95">
        <v>22</v>
      </c>
      <c r="L12" s="95">
        <v>22</v>
      </c>
      <c r="M12" s="279"/>
      <c r="N12" s="279"/>
      <c r="O12" s="279"/>
      <c r="P12" s="280">
        <v>0</v>
      </c>
      <c r="Q12" s="281">
        <f>1024.39+628.1</f>
        <v>1652.4900000000002</v>
      </c>
      <c r="R12" s="282">
        <v>0</v>
      </c>
      <c r="S12" s="283">
        <f t="shared" si="1"/>
        <v>1652.4900000000002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>
      <c r="A13" s="21"/>
      <c r="B13" s="86">
        <v>8</v>
      </c>
      <c r="C13" s="87" t="s">
        <v>301</v>
      </c>
      <c r="D13" s="95" t="s">
        <v>147</v>
      </c>
      <c r="E13" s="89" t="s">
        <v>902</v>
      </c>
      <c r="F13" s="93" t="s">
        <v>177</v>
      </c>
      <c r="G13" s="95" t="s">
        <v>299</v>
      </c>
      <c r="H13" s="93" t="str">
        <f t="shared" si="0"/>
        <v>REUNIÃO DO CONSELHO DIRETOR</v>
      </c>
      <c r="I13" s="95" t="s">
        <v>149</v>
      </c>
      <c r="J13" s="103">
        <v>43559</v>
      </c>
      <c r="K13" s="95">
        <v>22</v>
      </c>
      <c r="L13" s="95">
        <v>22</v>
      </c>
      <c r="M13" s="279"/>
      <c r="N13" s="279"/>
      <c r="O13" s="279"/>
      <c r="P13" s="280">
        <v>0</v>
      </c>
      <c r="Q13" s="281">
        <f>992.05+310</f>
        <v>1302.05</v>
      </c>
      <c r="R13" s="282">
        <v>0</v>
      </c>
      <c r="S13" s="283">
        <f t="shared" si="1"/>
        <v>1302.05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23.25">
      <c r="A14" s="21"/>
      <c r="B14" s="86">
        <v>9</v>
      </c>
      <c r="C14" s="87" t="s">
        <v>302</v>
      </c>
      <c r="D14" s="95" t="s">
        <v>303</v>
      </c>
      <c r="E14" s="89" t="s">
        <v>934</v>
      </c>
      <c r="F14" s="102" t="s">
        <v>108</v>
      </c>
      <c r="G14" s="102" t="s">
        <v>304</v>
      </c>
      <c r="H14" s="93" t="str">
        <f t="shared" si="0"/>
        <v>MINISTRAR TREINAMENTO - PROJETO AGHUSE - SESAB - MÓDULO INTERN. ADM. E ASSISTENCIAL.</v>
      </c>
      <c r="I14" s="95" t="s">
        <v>93</v>
      </c>
      <c r="J14" s="103">
        <v>43556</v>
      </c>
      <c r="K14" s="95">
        <v>14</v>
      </c>
      <c r="L14" s="95">
        <v>18</v>
      </c>
      <c r="M14" s="279">
        <v>33.380000000000003</v>
      </c>
      <c r="N14" s="279">
        <v>274.57</v>
      </c>
      <c r="O14" s="279"/>
      <c r="P14" s="290">
        <v>0</v>
      </c>
      <c r="Q14" s="281">
        <v>3791.96</v>
      </c>
      <c r="R14" s="282">
        <f>1066.8+83</f>
        <v>1149.8</v>
      </c>
      <c r="S14" s="283">
        <f t="shared" si="1"/>
        <v>5249.71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ht="23.25">
      <c r="A15" s="21"/>
      <c r="B15" s="86">
        <v>10</v>
      </c>
      <c r="C15" s="87" t="s">
        <v>305</v>
      </c>
      <c r="D15" s="95" t="s">
        <v>167</v>
      </c>
      <c r="E15" s="89" t="s">
        <v>935</v>
      </c>
      <c r="F15" s="102" t="s">
        <v>168</v>
      </c>
      <c r="G15" s="102" t="s">
        <v>304</v>
      </c>
      <c r="H15" s="181" t="str">
        <f t="shared" si="0"/>
        <v>MINISTRAR TREINAMENTO - PROJETO AGHUSE - SESAB - MÓDULO INTERN. ADM. E ASSISTENCIAL.</v>
      </c>
      <c r="I15" s="95" t="s">
        <v>93</v>
      </c>
      <c r="J15" s="103">
        <v>43556</v>
      </c>
      <c r="K15" s="95">
        <v>14</v>
      </c>
      <c r="L15" s="95">
        <v>18</v>
      </c>
      <c r="M15" s="279">
        <v>97.97</v>
      </c>
      <c r="N15" s="279">
        <v>433.97</v>
      </c>
      <c r="O15" s="279"/>
      <c r="P15" s="290">
        <v>0</v>
      </c>
      <c r="Q15" s="281">
        <f>1588.98+1305.98</f>
        <v>2894.96</v>
      </c>
      <c r="R15" s="282">
        <f>1066.8+118</f>
        <v>1184.8</v>
      </c>
      <c r="S15" s="283">
        <f t="shared" si="1"/>
        <v>4611.7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23.25">
      <c r="A16" s="21"/>
      <c r="B16" s="86">
        <v>11</v>
      </c>
      <c r="C16" s="87" t="s">
        <v>306</v>
      </c>
      <c r="D16" s="95" t="s">
        <v>90</v>
      </c>
      <c r="E16" s="190" t="s">
        <v>936</v>
      </c>
      <c r="F16" s="92" t="s">
        <v>91</v>
      </c>
      <c r="G16" s="102" t="s">
        <v>304</v>
      </c>
      <c r="H16" s="93" t="str">
        <f t="shared" si="0"/>
        <v>MINISTRAR TREINAMENTO - PROJETO AGHUSE - SESAB - MÓDULO INTERN. ADM. E ASSISTENCIAL.</v>
      </c>
      <c r="I16" s="95" t="s">
        <v>93</v>
      </c>
      <c r="J16" s="103">
        <v>43556</v>
      </c>
      <c r="K16" s="95">
        <v>14</v>
      </c>
      <c r="L16" s="95">
        <v>18</v>
      </c>
      <c r="M16" s="279">
        <v>164.74</v>
      </c>
      <c r="N16" s="279">
        <v>375.42</v>
      </c>
      <c r="O16" s="279"/>
      <c r="P16" s="290">
        <v>0</v>
      </c>
      <c r="Q16" s="281">
        <v>3177.96</v>
      </c>
      <c r="R16" s="282">
        <f>1066.8+24</f>
        <v>1090.8</v>
      </c>
      <c r="S16" s="283">
        <f t="shared" si="1"/>
        <v>4808.92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23.25">
      <c r="A17" s="21"/>
      <c r="B17" s="86">
        <v>12</v>
      </c>
      <c r="C17" s="87" t="s">
        <v>307</v>
      </c>
      <c r="D17" s="95" t="s">
        <v>127</v>
      </c>
      <c r="E17" s="155" t="s">
        <v>937</v>
      </c>
      <c r="F17" s="102" t="s">
        <v>308</v>
      </c>
      <c r="G17" s="102" t="s">
        <v>309</v>
      </c>
      <c r="H17" s="93" t="str">
        <f t="shared" si="0"/>
        <v>REUNIÃO COM DIRETORIA DA EBSERH SOBRE O SISTEMA AGHUSE</v>
      </c>
      <c r="I17" s="95" t="s">
        <v>72</v>
      </c>
      <c r="J17" s="103">
        <v>43556</v>
      </c>
      <c r="K17" s="95">
        <v>23</v>
      </c>
      <c r="L17" s="95">
        <v>24</v>
      </c>
      <c r="M17" s="279">
        <v>117.52</v>
      </c>
      <c r="N17" s="279">
        <v>215.17</v>
      </c>
      <c r="O17" s="279"/>
      <c r="P17" s="280">
        <v>0</v>
      </c>
      <c r="Q17" s="281">
        <v>1514.37</v>
      </c>
      <c r="R17" s="282">
        <f>401.94+106.48</f>
        <v>508.42</v>
      </c>
      <c r="S17" s="283">
        <f t="shared" si="1"/>
        <v>2355.48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23.25">
      <c r="A18" s="21"/>
      <c r="B18" s="86">
        <v>13</v>
      </c>
      <c r="C18" s="87" t="s">
        <v>310</v>
      </c>
      <c r="D18" s="95" t="s">
        <v>133</v>
      </c>
      <c r="E18" s="155" t="s">
        <v>938</v>
      </c>
      <c r="F18" s="102" t="s">
        <v>311</v>
      </c>
      <c r="G18" s="102" t="s">
        <v>309</v>
      </c>
      <c r="H18" s="93" t="str">
        <f t="shared" si="0"/>
        <v>REUNIÃO COM DIRETORIA DA EBSERH SOBRE O SISTEMA AGHUSE</v>
      </c>
      <c r="I18" s="95" t="s">
        <v>72</v>
      </c>
      <c r="J18" s="103">
        <v>43556</v>
      </c>
      <c r="K18" s="95">
        <v>23</v>
      </c>
      <c r="L18" s="95">
        <v>24</v>
      </c>
      <c r="M18" s="279">
        <v>94.84</v>
      </c>
      <c r="N18" s="279">
        <v>220.73</v>
      </c>
      <c r="O18" s="279"/>
      <c r="P18" s="280">
        <v>0</v>
      </c>
      <c r="Q18" s="281">
        <v>1514.37</v>
      </c>
      <c r="R18" s="282">
        <f>401.94+95.59</f>
        <v>497.53</v>
      </c>
      <c r="S18" s="283">
        <f t="shared" si="1"/>
        <v>2327.4699999999998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34.5">
      <c r="A19" s="21"/>
      <c r="B19" s="86">
        <v>14</v>
      </c>
      <c r="C19" s="87" t="s">
        <v>312</v>
      </c>
      <c r="D19" s="93" t="s">
        <v>313</v>
      </c>
      <c r="E19" s="155" t="s">
        <v>939</v>
      </c>
      <c r="F19" s="102" t="s">
        <v>314</v>
      </c>
      <c r="G19" s="102" t="s">
        <v>315</v>
      </c>
      <c r="H19" s="93" t="str">
        <f t="shared" si="0"/>
        <v>PARTICIPAÇÃO NO I SIMPÓSIO SOBRE EXPOSIÇÃO OCUPACIONAL A RADIAÇÕES IONIZANTES NO BRASIL</v>
      </c>
      <c r="I19" s="93" t="s">
        <v>316</v>
      </c>
      <c r="J19" s="94">
        <v>43556</v>
      </c>
      <c r="K19" s="95">
        <v>22</v>
      </c>
      <c r="L19" s="95">
        <v>24</v>
      </c>
      <c r="M19" s="279">
        <v>0</v>
      </c>
      <c r="N19" s="279">
        <v>0</v>
      </c>
      <c r="O19" s="279"/>
      <c r="P19" s="280">
        <v>0</v>
      </c>
      <c r="Q19" s="281">
        <v>1694.82</v>
      </c>
      <c r="R19" s="282">
        <v>536</v>
      </c>
      <c r="S19" s="283">
        <f t="shared" si="1"/>
        <v>2230.8199999999997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23.25">
      <c r="A20" s="21"/>
      <c r="B20" s="86">
        <v>15</v>
      </c>
      <c r="C20" s="87" t="s">
        <v>317</v>
      </c>
      <c r="D20" s="93" t="s">
        <v>110</v>
      </c>
      <c r="E20" s="155" t="s">
        <v>940</v>
      </c>
      <c r="F20" s="93" t="s">
        <v>318</v>
      </c>
      <c r="G20" s="102" t="s">
        <v>319</v>
      </c>
      <c r="H20" s="93" t="str">
        <f t="shared" si="0"/>
        <v>REPRESENTAR O HCPA NA ASSEMBLEIA GERAL ORDINÁRIA - AGO DA ABRAHUE,</v>
      </c>
      <c r="I20" s="93" t="s">
        <v>72</v>
      </c>
      <c r="J20" s="103">
        <v>43556</v>
      </c>
      <c r="K20" s="95">
        <v>30</v>
      </c>
      <c r="L20" s="95">
        <v>30</v>
      </c>
      <c r="M20" s="279">
        <v>0</v>
      </c>
      <c r="N20" s="279"/>
      <c r="O20" s="279"/>
      <c r="P20" s="280">
        <v>0</v>
      </c>
      <c r="Q20" s="281">
        <v>2110.37</v>
      </c>
      <c r="R20" s="282">
        <v>0</v>
      </c>
      <c r="S20" s="283">
        <f t="shared" si="1"/>
        <v>2110.37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ht="15.75" customHeight="1">
      <c r="A21" s="21"/>
      <c r="B21" s="86">
        <v>16</v>
      </c>
      <c r="C21" s="87" t="s">
        <v>320</v>
      </c>
      <c r="D21" s="95" t="s">
        <v>321</v>
      </c>
      <c r="E21" s="155" t="s">
        <v>941</v>
      </c>
      <c r="F21" s="95" t="s">
        <v>322</v>
      </c>
      <c r="G21" s="102" t="s">
        <v>323</v>
      </c>
      <c r="H21" s="93" t="str">
        <f t="shared" si="0"/>
        <v>PARTICIPAR DE REUNIÃO SOBRE CUSTOS HOSPITALARES JUNTO AO GRUPO DE TRABALHO DE CUSTOS, COMO ESPECIALISTA NA ÁREA VISANDO UM RELATO DE EXPERIÊNCIA E TROCA DE INFORMAÇÕES, NO PERÍODO DE 29 A 30 DE ABRIL DE 2019.</v>
      </c>
      <c r="I21" s="93" t="s">
        <v>290</v>
      </c>
      <c r="J21" s="103">
        <v>43556</v>
      </c>
      <c r="K21" s="95">
        <v>29</v>
      </c>
      <c r="L21" s="95">
        <v>30</v>
      </c>
      <c r="M21" s="279">
        <v>52.66</v>
      </c>
      <c r="N21" s="279">
        <v>28.5</v>
      </c>
      <c r="O21" s="279"/>
      <c r="P21" s="280">
        <v>31</v>
      </c>
      <c r="Q21" s="281">
        <f t="shared" ref="Q21:Q22" si="2">1451.39+1405.98</f>
        <v>2857.37</v>
      </c>
      <c r="R21" s="282">
        <v>268</v>
      </c>
      <c r="S21" s="283">
        <f t="shared" si="1"/>
        <v>3237.5299999999997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ht="15.75" customHeight="1">
      <c r="A22" s="21"/>
      <c r="B22" s="86">
        <v>17</v>
      </c>
      <c r="C22" s="87" t="s">
        <v>324</v>
      </c>
      <c r="D22" s="95" t="s">
        <v>325</v>
      </c>
      <c r="E22" s="155" t="s">
        <v>942</v>
      </c>
      <c r="F22" s="95" t="s">
        <v>322</v>
      </c>
      <c r="G22" s="102" t="s">
        <v>323</v>
      </c>
      <c r="H22" s="93" t="str">
        <f t="shared" si="0"/>
        <v>PARTICIPAR DE REUNIÃO SOBRE CUSTOS HOSPITALARES JUNTO AO GRUPO DE TRABALHO DE CUSTOS, COMO ESPECIALISTA NA ÁREA VISANDO UM RELATO DE EXPERIÊNCIA E TROCA DE INFORMAÇÕES, NO PERÍODO DE 29 A 30 DE ABRIL DE 2019.</v>
      </c>
      <c r="I22" s="93" t="s">
        <v>290</v>
      </c>
      <c r="J22" s="103">
        <v>43556</v>
      </c>
      <c r="K22" s="95">
        <v>29</v>
      </c>
      <c r="L22" s="95">
        <v>30</v>
      </c>
      <c r="M22" s="279"/>
      <c r="N22" s="279"/>
      <c r="O22" s="279"/>
      <c r="P22" s="290">
        <v>0</v>
      </c>
      <c r="Q22" s="281">
        <f t="shared" si="2"/>
        <v>2857.37</v>
      </c>
      <c r="R22" s="282">
        <f>268+44</f>
        <v>312</v>
      </c>
      <c r="S22" s="283">
        <f t="shared" si="1"/>
        <v>3169.37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ht="15.75" customHeight="1">
      <c r="A23" s="21"/>
      <c r="B23" s="86">
        <v>18</v>
      </c>
      <c r="C23" s="191" t="s">
        <v>326</v>
      </c>
      <c r="D23" s="95" t="s">
        <v>327</v>
      </c>
      <c r="E23" s="155" t="s">
        <v>943</v>
      </c>
      <c r="F23" s="95" t="s">
        <v>328</v>
      </c>
      <c r="G23" s="102" t="s">
        <v>329</v>
      </c>
      <c r="H23" s="93" t="str">
        <f t="shared" si="0"/>
        <v>PARTICIPAR DE REUNIÃO SOBRE CUSTOS HOSPITALARES JUNTO AO GRUPO DE TRABALHO DE CUSTOS, COMO ESPECIALISTA NA ÁREA VISANDO UM RELATO DE EXPERIÊNCIA E TROCA DE INFORMAÇÕES, NA DATA  DE 30 DE ABRIL DE 2019.</v>
      </c>
      <c r="I23" s="93" t="s">
        <v>330</v>
      </c>
      <c r="J23" s="103">
        <v>43556</v>
      </c>
      <c r="K23" s="95">
        <v>30</v>
      </c>
      <c r="L23" s="95">
        <v>30</v>
      </c>
      <c r="M23" s="279"/>
      <c r="N23" s="279">
        <v>28.5</v>
      </c>
      <c r="O23" s="279"/>
      <c r="P23" s="290">
        <v>0</v>
      </c>
      <c r="Q23" s="281">
        <v>2137.83</v>
      </c>
      <c r="R23" s="282">
        <v>0</v>
      </c>
      <c r="S23" s="283">
        <f t="shared" si="1"/>
        <v>2166.33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ht="15.75" customHeight="1">
      <c r="A24" s="21"/>
      <c r="B24" s="106">
        <v>19</v>
      </c>
      <c r="C24" s="107" t="s">
        <v>331</v>
      </c>
      <c r="D24" s="115" t="s">
        <v>332</v>
      </c>
      <c r="E24" s="182" t="s">
        <v>944</v>
      </c>
      <c r="F24" s="115" t="s">
        <v>328</v>
      </c>
      <c r="G24" s="112" t="s">
        <v>329</v>
      </c>
      <c r="H24" s="113" t="str">
        <f t="shared" si="0"/>
        <v>PARTICIPAR DE REUNIÃO SOBRE CUSTOS HOSPITALARES JUNTO AO GRUPO DE TRABALHO DE CUSTOS, COMO ESPECIALISTA NA ÁREA VISANDO UM RELATO DE EXPERIÊNCIA E TROCA DE INFORMAÇÕES, NA DATA  DE 30 DE ABRIL DE 2019.</v>
      </c>
      <c r="I24" s="113" t="s">
        <v>330</v>
      </c>
      <c r="J24" s="114">
        <v>43556</v>
      </c>
      <c r="K24" s="115">
        <v>30</v>
      </c>
      <c r="L24" s="115">
        <v>30</v>
      </c>
      <c r="M24" s="284">
        <v>35</v>
      </c>
      <c r="N24" s="284">
        <v>26</v>
      </c>
      <c r="O24" s="284"/>
      <c r="P24" s="291">
        <v>30.4</v>
      </c>
      <c r="Q24" s="286">
        <v>2137.83</v>
      </c>
      <c r="R24" s="287">
        <v>0</v>
      </c>
      <c r="S24" s="288">
        <f t="shared" si="1"/>
        <v>2229.23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ht="15.75" customHeight="1">
      <c r="A25" s="21"/>
      <c r="B25" s="34"/>
      <c r="C25" s="35"/>
      <c r="D25" s="36"/>
      <c r="E25" s="36"/>
      <c r="F25" s="36"/>
      <c r="G25" s="36"/>
      <c r="H25" s="36"/>
      <c r="I25" s="36"/>
      <c r="J25" s="120"/>
      <c r="K25" s="121"/>
      <c r="L25" s="121"/>
      <c r="M25" s="37"/>
      <c r="N25" s="37"/>
      <c r="O25" s="37"/>
      <c r="P25" s="22"/>
      <c r="Q25" s="38"/>
      <c r="R25" s="39"/>
      <c r="S25" s="40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ht="15.75" customHeight="1">
      <c r="A26" s="41"/>
      <c r="B26" s="122" t="s">
        <v>94</v>
      </c>
      <c r="C26" s="41"/>
      <c r="D26" s="123" t="s">
        <v>95</v>
      </c>
      <c r="E26" s="124"/>
      <c r="F26" s="41"/>
      <c r="G26" s="41"/>
      <c r="H26" s="41"/>
      <c r="I26" s="125"/>
      <c r="J26" s="41"/>
      <c r="K26" s="34"/>
      <c r="L26" s="41"/>
      <c r="M26" s="170">
        <f t="shared" ref="M26:R26" si="3">SUM(M6:M24)</f>
        <v>700.11</v>
      </c>
      <c r="N26" s="170">
        <f t="shared" si="3"/>
        <v>1979.7800000000002</v>
      </c>
      <c r="O26" s="170">
        <f t="shared" si="3"/>
        <v>0</v>
      </c>
      <c r="P26" s="192">
        <f t="shared" si="3"/>
        <v>855.9799999999999</v>
      </c>
      <c r="Q26" s="128">
        <f t="shared" si="3"/>
        <v>43149.66</v>
      </c>
      <c r="R26" s="129">
        <f t="shared" si="3"/>
        <v>10346.02</v>
      </c>
      <c r="S26" s="46">
        <f>SUM(S6:S24)+P27</f>
        <v>57040.109800000013</v>
      </c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</row>
    <row r="27" spans="1:37" ht="15.75" customHeight="1">
      <c r="A27" s="47"/>
      <c r="B27" s="47"/>
      <c r="C27" s="47"/>
      <c r="D27" s="310"/>
      <c r="E27" s="306"/>
      <c r="F27" s="306"/>
      <c r="G27" s="306"/>
      <c r="H27" s="306"/>
      <c r="I27" s="306"/>
      <c r="J27" s="306"/>
      <c r="K27" s="306"/>
      <c r="L27" s="47"/>
      <c r="M27" s="48"/>
      <c r="N27" s="48"/>
      <c r="O27" s="130" t="s">
        <v>94</v>
      </c>
      <c r="P27" s="22">
        <f>P26*1%</f>
        <v>8.5597999999999992</v>
      </c>
      <c r="Q27" s="47"/>
      <c r="R27" s="47"/>
      <c r="S27" s="52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</row>
    <row r="28" spans="1:37" ht="15.75" customHeight="1">
      <c r="A28" s="47"/>
      <c r="B28" s="47"/>
      <c r="C28" s="187"/>
      <c r="D28" s="187"/>
      <c r="E28" s="187"/>
      <c r="F28" s="187"/>
      <c r="G28" s="47"/>
      <c r="H28" s="47"/>
      <c r="I28" s="50"/>
      <c r="J28" s="47"/>
      <c r="K28" s="47"/>
      <c r="L28" s="47"/>
      <c r="M28" s="48"/>
      <c r="N28" s="48"/>
      <c r="O28" s="48"/>
      <c r="P28" s="131">
        <f>P26+P27</f>
        <v>864.5397999999999</v>
      </c>
      <c r="Q28" s="51"/>
      <c r="R28" s="52"/>
      <c r="S28" s="132" t="s">
        <v>96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</row>
    <row r="29" spans="1:37" ht="15.75" customHeight="1">
      <c r="A29" s="47"/>
      <c r="B29" s="47"/>
      <c r="C29" s="47"/>
      <c r="D29" s="311"/>
      <c r="E29" s="306"/>
      <c r="F29" s="306"/>
      <c r="G29" s="306"/>
      <c r="H29" s="306"/>
      <c r="I29" s="306"/>
      <c r="J29" s="306"/>
      <c r="K29" s="306"/>
      <c r="L29" s="47"/>
      <c r="M29" s="48"/>
      <c r="N29" s="48"/>
      <c r="O29" s="48"/>
      <c r="P29" s="22"/>
      <c r="Q29" s="4" t="s">
        <v>26</v>
      </c>
      <c r="R29" s="133">
        <f>M26+N26+O26+P28+Q26+R26</f>
        <v>57040.109800000006</v>
      </c>
      <c r="S29" s="56">
        <f>S26-R29</f>
        <v>0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 ht="15.75" customHeight="1">
      <c r="C30" s="1"/>
      <c r="D30" s="1"/>
      <c r="E30" s="1"/>
      <c r="F30" s="1"/>
      <c r="G30" s="1"/>
      <c r="H30" s="1"/>
      <c r="I30" s="2"/>
      <c r="J30" s="63"/>
      <c r="K30" s="63"/>
      <c r="L30" s="63"/>
      <c r="M30" s="3"/>
      <c r="N30" s="3"/>
      <c r="O30" s="130" t="s">
        <v>94</v>
      </c>
      <c r="P30" s="22" t="s">
        <v>97</v>
      </c>
      <c r="Q30" s="4"/>
      <c r="R30" s="5"/>
      <c r="S30" s="5"/>
    </row>
    <row r="31" spans="1:37" ht="15.75" customHeight="1">
      <c r="C31" s="1"/>
      <c r="D31" s="1"/>
      <c r="E31" s="1"/>
      <c r="F31" s="1"/>
      <c r="G31" s="1"/>
      <c r="H31" s="1"/>
      <c r="I31" s="2"/>
      <c r="J31" s="63"/>
      <c r="K31" s="63"/>
      <c r="L31" s="63"/>
      <c r="M31" s="3"/>
      <c r="N31" s="3"/>
      <c r="O31" s="3"/>
      <c r="P31" s="22"/>
      <c r="Q31" s="4"/>
      <c r="R31" s="5"/>
      <c r="S31" s="5"/>
    </row>
    <row r="32" spans="1:37" ht="15.75" customHeight="1">
      <c r="C32" s="1"/>
      <c r="D32" s="1"/>
      <c r="E32" s="1"/>
      <c r="F32" s="1"/>
      <c r="G32" s="1"/>
      <c r="H32" s="1"/>
      <c r="I32" s="2"/>
      <c r="J32" s="63"/>
      <c r="K32" s="63"/>
      <c r="L32" s="63"/>
      <c r="M32" s="3"/>
      <c r="N32" s="3"/>
      <c r="O32" s="3"/>
      <c r="P32" s="22"/>
      <c r="Q32" s="4"/>
      <c r="R32" s="5"/>
      <c r="S32" s="5"/>
    </row>
    <row r="33" spans="3:19" ht="15.75" customHeight="1">
      <c r="C33" s="1"/>
      <c r="D33" s="1"/>
      <c r="E33" s="1"/>
      <c r="F33" s="1"/>
      <c r="G33" s="1"/>
      <c r="H33" s="1"/>
      <c r="I33" s="2"/>
      <c r="J33" s="63"/>
      <c r="K33" s="63"/>
      <c r="L33" s="63"/>
      <c r="M33" s="3"/>
      <c r="N33" s="3"/>
      <c r="O33" s="3"/>
      <c r="P33" s="22"/>
      <c r="Q33" s="4"/>
      <c r="R33" s="5"/>
      <c r="S33" s="5"/>
    </row>
    <row r="34" spans="3:19" ht="15.75" customHeight="1">
      <c r="C34" s="1"/>
      <c r="D34" s="1"/>
      <c r="E34" s="1"/>
      <c r="F34" s="1"/>
      <c r="G34" s="1"/>
      <c r="H34" s="1"/>
      <c r="I34" s="2"/>
      <c r="J34" s="63"/>
      <c r="K34" s="63"/>
      <c r="L34" s="63"/>
      <c r="M34" s="3"/>
      <c r="N34" s="3"/>
      <c r="O34" s="3"/>
      <c r="P34" s="22"/>
      <c r="Q34" s="4"/>
      <c r="R34" s="5"/>
      <c r="S34" s="5"/>
    </row>
    <row r="35" spans="3:19" ht="15.75" customHeight="1">
      <c r="C35" s="1"/>
      <c r="D35" s="1"/>
      <c r="E35" s="1"/>
      <c r="F35" s="1"/>
      <c r="G35" s="1"/>
      <c r="H35" s="1"/>
      <c r="I35" s="2"/>
      <c r="J35" s="63"/>
      <c r="K35" s="63"/>
      <c r="L35" s="63"/>
      <c r="M35" s="3"/>
      <c r="N35" s="3"/>
      <c r="O35" s="3"/>
      <c r="P35" s="22"/>
      <c r="Q35" s="4"/>
      <c r="R35" s="5"/>
      <c r="S35" s="5"/>
    </row>
    <row r="36" spans="3:19" ht="15.75" customHeight="1">
      <c r="C36" s="1"/>
      <c r="D36" s="1"/>
      <c r="E36" s="1"/>
      <c r="F36" s="1"/>
      <c r="G36" s="1"/>
      <c r="H36" s="1"/>
      <c r="I36" s="2"/>
      <c r="J36" s="63"/>
      <c r="K36" s="63"/>
      <c r="L36" s="63"/>
      <c r="M36" s="3"/>
      <c r="N36" s="3"/>
      <c r="O36" s="3"/>
      <c r="P36" s="22"/>
      <c r="Q36" s="4"/>
      <c r="R36" s="5"/>
      <c r="S36" s="5"/>
    </row>
    <row r="37" spans="3:19" ht="15.75" customHeight="1">
      <c r="C37" s="1"/>
      <c r="D37" s="1"/>
      <c r="E37" s="1"/>
      <c r="F37" s="1"/>
      <c r="G37" s="1"/>
      <c r="H37" s="1"/>
      <c r="I37" s="2"/>
      <c r="J37" s="63"/>
      <c r="K37" s="63"/>
      <c r="L37" s="63"/>
      <c r="M37" s="3"/>
      <c r="N37" s="3"/>
      <c r="O37" s="3"/>
      <c r="P37" s="22"/>
      <c r="Q37" s="4"/>
      <c r="R37" s="5"/>
      <c r="S37" s="5"/>
    </row>
    <row r="38" spans="3:19" ht="15.75" customHeight="1">
      <c r="C38" s="1"/>
      <c r="I38" s="2"/>
      <c r="J38" s="63"/>
      <c r="K38" s="63"/>
      <c r="L38" s="63"/>
      <c r="M38" s="3"/>
      <c r="N38" s="3"/>
      <c r="O38" s="3"/>
      <c r="P38" s="22"/>
      <c r="Q38" s="4"/>
      <c r="R38" s="5"/>
      <c r="S38" s="5"/>
    </row>
    <row r="39" spans="3:19" ht="15.75" customHeight="1">
      <c r="C39" s="1"/>
      <c r="D39" s="1"/>
      <c r="E39" s="1"/>
      <c r="F39" s="1"/>
      <c r="G39" s="1"/>
      <c r="H39" s="1"/>
      <c r="I39" s="2"/>
      <c r="J39" s="63"/>
      <c r="K39" s="63"/>
      <c r="L39" s="63"/>
      <c r="M39" s="3"/>
      <c r="N39" s="3"/>
      <c r="O39" s="3"/>
      <c r="P39" s="22"/>
      <c r="Q39" s="4"/>
      <c r="R39" s="5"/>
      <c r="S39" s="5"/>
    </row>
    <row r="40" spans="3:19" ht="15.75" customHeight="1">
      <c r="C40" s="1"/>
      <c r="D40" s="1"/>
      <c r="E40" s="1"/>
      <c r="F40" s="1"/>
      <c r="G40" s="1"/>
      <c r="H40" s="1"/>
      <c r="I40" s="2"/>
      <c r="J40" s="63"/>
      <c r="K40" s="63"/>
      <c r="L40" s="63"/>
      <c r="M40" s="3"/>
      <c r="N40" s="3"/>
      <c r="O40" s="3"/>
      <c r="P40" s="134"/>
      <c r="Q40" s="4"/>
      <c r="R40" s="5"/>
      <c r="S40" s="5"/>
    </row>
    <row r="41" spans="3:19" ht="15.75" customHeight="1">
      <c r="C41" s="1"/>
      <c r="D41" s="1"/>
      <c r="E41" s="1"/>
      <c r="F41" s="1"/>
      <c r="G41" s="1"/>
      <c r="H41" s="1"/>
      <c r="I41" s="2"/>
      <c r="J41" s="63"/>
      <c r="K41" s="63"/>
      <c r="L41" s="63"/>
      <c r="M41" s="3"/>
      <c r="N41" s="3"/>
      <c r="O41" s="3"/>
      <c r="P41" s="47"/>
    </row>
    <row r="42" spans="3:19" ht="15.75" customHeight="1">
      <c r="C42" s="1"/>
      <c r="D42" s="1"/>
      <c r="E42" s="1"/>
      <c r="F42" s="1"/>
      <c r="G42" s="1"/>
      <c r="H42" s="1"/>
      <c r="I42" s="2"/>
      <c r="J42" s="63"/>
      <c r="K42" s="63"/>
      <c r="L42" s="63"/>
      <c r="M42" s="3"/>
      <c r="N42" s="3"/>
      <c r="O42" s="3"/>
      <c r="P42" s="47"/>
    </row>
    <row r="43" spans="3:19" ht="15.75" customHeight="1">
      <c r="C43" s="1"/>
      <c r="D43" s="1"/>
      <c r="E43" s="1"/>
      <c r="F43" s="1"/>
      <c r="G43" s="1"/>
      <c r="H43" s="1"/>
      <c r="I43" s="2"/>
      <c r="J43" s="63"/>
      <c r="K43" s="63"/>
      <c r="L43" s="63"/>
      <c r="M43" s="3"/>
      <c r="N43" s="3"/>
      <c r="O43" s="3"/>
      <c r="P43" s="47"/>
    </row>
    <row r="44" spans="3:19" ht="15.75" customHeight="1">
      <c r="C44" s="1"/>
      <c r="D44" s="1"/>
      <c r="E44" s="1"/>
      <c r="F44" s="1"/>
      <c r="G44" s="1"/>
      <c r="H44" s="1"/>
      <c r="I44" s="2"/>
      <c r="J44" s="63"/>
      <c r="K44" s="63"/>
      <c r="L44" s="63"/>
      <c r="M44" s="3"/>
      <c r="N44" s="3"/>
      <c r="O44" s="3"/>
    </row>
    <row r="45" spans="3:19" ht="15.75" customHeight="1">
      <c r="C45" s="1"/>
      <c r="D45" s="1"/>
      <c r="E45" s="1"/>
      <c r="F45" s="1"/>
      <c r="G45" s="1"/>
      <c r="H45" s="1"/>
      <c r="I45" s="2"/>
      <c r="J45" s="63"/>
      <c r="K45" s="63"/>
      <c r="L45" s="63"/>
      <c r="M45" s="3"/>
      <c r="N45" s="3"/>
      <c r="O45" s="3"/>
    </row>
    <row r="46" spans="3:19" ht="15.75" customHeight="1">
      <c r="C46" s="1"/>
      <c r="D46" s="1"/>
      <c r="E46" s="1"/>
      <c r="F46" s="1"/>
      <c r="G46" s="1"/>
      <c r="H46" s="1"/>
      <c r="I46" s="2"/>
      <c r="J46" s="63"/>
      <c r="K46" s="63"/>
      <c r="L46" s="63"/>
      <c r="M46" s="3"/>
      <c r="N46" s="3"/>
      <c r="O46" s="3"/>
    </row>
    <row r="47" spans="3:19" ht="15.75" customHeight="1">
      <c r="C47" s="1"/>
      <c r="D47" s="1"/>
      <c r="E47" s="1"/>
      <c r="F47" s="1"/>
      <c r="G47" s="1"/>
      <c r="H47" s="1"/>
      <c r="I47" s="2"/>
      <c r="J47" s="63"/>
      <c r="K47" s="63"/>
      <c r="L47" s="63"/>
      <c r="M47" s="3"/>
      <c r="N47" s="3"/>
      <c r="O47" s="3"/>
    </row>
    <row r="48" spans="3:19" ht="15.75" customHeight="1">
      <c r="C48" s="1"/>
      <c r="D48" s="1"/>
      <c r="E48" s="1"/>
      <c r="F48" s="1"/>
      <c r="G48" s="1"/>
      <c r="H48" s="1"/>
      <c r="I48" s="2"/>
      <c r="J48" s="63"/>
      <c r="K48" s="63"/>
      <c r="L48" s="63"/>
      <c r="M48" s="3"/>
      <c r="N48" s="3"/>
      <c r="O48" s="3"/>
    </row>
    <row r="49" spans="3:15" ht="15.75" customHeight="1">
      <c r="C49" s="1"/>
      <c r="D49" s="1"/>
      <c r="E49" s="1"/>
      <c r="F49" s="1"/>
      <c r="G49" s="1"/>
      <c r="H49" s="1"/>
      <c r="I49" s="2"/>
      <c r="J49" s="63"/>
      <c r="K49" s="63"/>
      <c r="L49" s="63"/>
      <c r="M49" s="3"/>
      <c r="N49" s="3"/>
      <c r="O49" s="3"/>
    </row>
    <row r="50" spans="3:15" ht="15.75" customHeight="1">
      <c r="C50" s="1"/>
      <c r="D50" s="1"/>
      <c r="E50" s="1"/>
      <c r="F50" s="1"/>
      <c r="G50" s="1"/>
      <c r="H50" s="1"/>
      <c r="I50" s="2"/>
      <c r="J50" s="63"/>
      <c r="K50" s="63"/>
      <c r="L50" s="63"/>
      <c r="M50" s="3"/>
      <c r="N50" s="3"/>
      <c r="O50" s="3"/>
    </row>
    <row r="51" spans="3:15" ht="15.75" customHeight="1">
      <c r="C51" s="1"/>
      <c r="D51" s="1"/>
      <c r="E51" s="1"/>
      <c r="F51" s="1"/>
      <c r="G51" s="1"/>
      <c r="H51" s="1"/>
      <c r="I51" s="2"/>
      <c r="J51" s="63"/>
      <c r="K51" s="63"/>
      <c r="L51" s="63"/>
      <c r="M51" s="3"/>
      <c r="N51" s="3"/>
      <c r="O51" s="3"/>
    </row>
    <row r="52" spans="3:15" ht="15.75" customHeight="1">
      <c r="C52" s="1"/>
      <c r="D52" s="1"/>
      <c r="E52" s="1"/>
      <c r="F52" s="1"/>
      <c r="G52" s="1"/>
      <c r="H52" s="1"/>
      <c r="I52" s="2"/>
      <c r="J52" s="63"/>
      <c r="K52" s="63"/>
      <c r="L52" s="63"/>
      <c r="M52" s="3"/>
      <c r="N52" s="3"/>
      <c r="O52" s="3"/>
    </row>
    <row r="53" spans="3:15" ht="15.75" customHeight="1">
      <c r="C53" s="1"/>
      <c r="D53" s="1"/>
      <c r="E53" s="1"/>
      <c r="F53" s="1"/>
      <c r="G53" s="1"/>
      <c r="H53" s="1"/>
      <c r="I53" s="2"/>
      <c r="J53" s="63"/>
      <c r="K53" s="63"/>
      <c r="L53" s="63"/>
      <c r="M53" s="3"/>
      <c r="N53" s="3"/>
      <c r="O53" s="3"/>
    </row>
    <row r="54" spans="3:15" ht="15.75" customHeight="1">
      <c r="C54" s="1"/>
      <c r="D54" s="1"/>
      <c r="E54" s="1"/>
      <c r="F54" s="1"/>
      <c r="G54" s="1"/>
      <c r="H54" s="1"/>
      <c r="I54" s="2"/>
      <c r="J54" s="63"/>
      <c r="K54" s="63"/>
      <c r="L54" s="63"/>
      <c r="M54" s="3"/>
      <c r="N54" s="3"/>
      <c r="O54" s="3"/>
    </row>
    <row r="55" spans="3:15" ht="15.75" customHeight="1">
      <c r="C55" s="1"/>
      <c r="D55" s="1"/>
      <c r="E55" s="1"/>
      <c r="F55" s="1"/>
      <c r="G55" s="1"/>
      <c r="H55" s="1"/>
      <c r="I55" s="2"/>
      <c r="J55" s="63"/>
      <c r="K55" s="63"/>
      <c r="L55" s="63"/>
      <c r="M55" s="3"/>
      <c r="N55" s="3"/>
      <c r="O55" s="3"/>
    </row>
    <row r="56" spans="3:15" ht="15.75" customHeight="1">
      <c r="C56" s="1"/>
      <c r="D56" s="1"/>
      <c r="E56" s="1"/>
      <c r="F56" s="1"/>
      <c r="G56" s="1"/>
      <c r="H56" s="1"/>
      <c r="I56" s="2"/>
      <c r="J56" s="63"/>
      <c r="K56" s="63"/>
      <c r="L56" s="63"/>
      <c r="M56" s="3"/>
      <c r="N56" s="3"/>
      <c r="O56" s="3"/>
    </row>
    <row r="57" spans="3:15" ht="15.75" customHeight="1">
      <c r="C57" s="1"/>
      <c r="D57" s="1"/>
      <c r="E57" s="1"/>
      <c r="F57" s="1"/>
      <c r="G57" s="1"/>
      <c r="H57" s="1"/>
      <c r="I57" s="2"/>
      <c r="J57" s="63"/>
      <c r="K57" s="63"/>
      <c r="L57" s="63"/>
    </row>
    <row r="58" spans="3:15" ht="15.75" customHeight="1">
      <c r="C58" s="1"/>
      <c r="D58" s="1"/>
      <c r="E58" s="1"/>
      <c r="F58" s="1"/>
      <c r="G58" s="1"/>
      <c r="H58" s="1"/>
      <c r="I58" s="2"/>
      <c r="J58" s="63"/>
      <c r="K58" s="63"/>
      <c r="L58" s="63"/>
    </row>
    <row r="59" spans="3:15" ht="15.75" customHeight="1">
      <c r="C59" s="1"/>
      <c r="D59" s="1"/>
      <c r="E59" s="1"/>
      <c r="F59" s="1"/>
      <c r="G59" s="1"/>
      <c r="H59" s="1"/>
      <c r="I59" s="2"/>
      <c r="J59" s="63"/>
      <c r="K59" s="63"/>
      <c r="L59" s="63"/>
    </row>
    <row r="60" spans="3:15" ht="15.75" customHeight="1">
      <c r="C60" s="1"/>
      <c r="D60" s="1"/>
      <c r="E60" s="1"/>
      <c r="F60" s="1"/>
      <c r="G60" s="1"/>
      <c r="H60" s="1"/>
      <c r="I60" s="2"/>
      <c r="J60" s="63"/>
      <c r="K60" s="63"/>
      <c r="L60" s="63"/>
    </row>
    <row r="61" spans="3:15" ht="15.75" customHeight="1">
      <c r="C61" s="1"/>
      <c r="D61" s="1"/>
      <c r="E61" s="1"/>
      <c r="F61" s="1"/>
      <c r="G61" s="1"/>
      <c r="H61" s="1"/>
      <c r="I61" s="2"/>
      <c r="J61" s="63"/>
      <c r="K61" s="63"/>
      <c r="L61" s="63"/>
    </row>
    <row r="62" spans="3:15" ht="15.75" customHeight="1">
      <c r="C62" s="1"/>
      <c r="D62" s="1"/>
      <c r="E62" s="1"/>
      <c r="F62" s="1"/>
      <c r="G62" s="1"/>
      <c r="H62" s="1"/>
      <c r="I62" s="2"/>
      <c r="J62" s="63"/>
      <c r="K62" s="63"/>
      <c r="L62" s="63"/>
    </row>
    <row r="63" spans="3:15" ht="15.75" customHeight="1">
      <c r="C63" s="1"/>
      <c r="D63" s="1"/>
      <c r="E63" s="1"/>
      <c r="F63" s="1"/>
      <c r="G63" s="1"/>
      <c r="H63" s="1"/>
      <c r="I63" s="2"/>
      <c r="J63" s="63"/>
      <c r="K63" s="63"/>
      <c r="L63" s="63"/>
    </row>
    <row r="64" spans="3:15" ht="15.75" customHeight="1">
      <c r="C64" s="1"/>
      <c r="D64" s="1"/>
      <c r="E64" s="1"/>
      <c r="F64" s="1"/>
      <c r="G64" s="1"/>
      <c r="H64" s="1"/>
      <c r="I64" s="2"/>
      <c r="J64" s="63"/>
      <c r="K64" s="63"/>
      <c r="L64" s="63"/>
    </row>
    <row r="65" spans="3:12" ht="15.75" customHeight="1">
      <c r="C65" s="1"/>
      <c r="D65" s="1"/>
      <c r="E65" s="1"/>
      <c r="F65" s="1"/>
      <c r="G65" s="1"/>
      <c r="H65" s="1"/>
      <c r="I65" s="2"/>
      <c r="J65" s="63"/>
      <c r="K65" s="63"/>
      <c r="L65" s="63"/>
    </row>
    <row r="66" spans="3:12" ht="15.75" customHeight="1">
      <c r="C66" s="1"/>
      <c r="D66" s="1"/>
      <c r="E66" s="1"/>
      <c r="F66" s="1"/>
      <c r="G66" s="1"/>
      <c r="H66" s="1"/>
      <c r="I66" s="2"/>
      <c r="J66" s="63"/>
      <c r="K66" s="63"/>
      <c r="L66" s="63"/>
    </row>
    <row r="67" spans="3:12" ht="15.75" customHeight="1">
      <c r="C67" s="1"/>
      <c r="D67" s="1"/>
      <c r="E67" s="1"/>
      <c r="F67" s="1"/>
      <c r="G67" s="1"/>
      <c r="H67" s="1"/>
      <c r="I67" s="2"/>
      <c r="J67" s="63"/>
      <c r="K67" s="63"/>
      <c r="L67" s="63"/>
    </row>
    <row r="68" spans="3:12" ht="15.75" customHeight="1">
      <c r="C68" s="1"/>
      <c r="D68" s="1"/>
      <c r="E68" s="1"/>
      <c r="F68" s="1"/>
      <c r="G68" s="1"/>
      <c r="H68" s="1"/>
      <c r="I68" s="2"/>
      <c r="J68" s="63"/>
      <c r="K68" s="63"/>
      <c r="L68" s="63"/>
    </row>
    <row r="69" spans="3:12" ht="15.75" customHeight="1">
      <c r="C69" s="1"/>
      <c r="D69" s="1"/>
      <c r="E69" s="1"/>
      <c r="F69" s="1"/>
      <c r="G69" s="1"/>
      <c r="H69" s="1"/>
      <c r="I69" s="2"/>
      <c r="J69" s="63"/>
      <c r="K69" s="63"/>
      <c r="L69" s="63"/>
    </row>
    <row r="70" spans="3:12" ht="15.75" customHeight="1">
      <c r="C70" s="1"/>
      <c r="D70" s="1"/>
      <c r="E70" s="1"/>
      <c r="F70" s="1"/>
      <c r="G70" s="1"/>
      <c r="H70" s="1"/>
      <c r="I70" s="2"/>
      <c r="J70" s="63"/>
      <c r="K70" s="63"/>
      <c r="L70" s="63"/>
    </row>
    <row r="71" spans="3:12" ht="15.75" customHeight="1">
      <c r="C71" s="1"/>
      <c r="D71" s="1"/>
      <c r="E71" s="1"/>
      <c r="F71" s="1"/>
      <c r="G71" s="1"/>
      <c r="H71" s="1"/>
      <c r="I71" s="2"/>
      <c r="J71" s="63"/>
      <c r="K71" s="63"/>
      <c r="L71" s="63"/>
    </row>
    <row r="72" spans="3:12" ht="15.75" customHeight="1">
      <c r="C72" s="1"/>
      <c r="D72" s="1"/>
      <c r="E72" s="1"/>
      <c r="F72" s="1"/>
      <c r="G72" s="1"/>
      <c r="H72" s="1"/>
      <c r="I72" s="2"/>
      <c r="J72" s="63"/>
      <c r="K72" s="63"/>
      <c r="L72" s="63"/>
    </row>
    <row r="73" spans="3:12" ht="15.75" customHeight="1">
      <c r="C73" s="1"/>
      <c r="D73" s="1"/>
      <c r="E73" s="1"/>
      <c r="F73" s="1"/>
      <c r="G73" s="1"/>
      <c r="H73" s="1"/>
      <c r="I73" s="2"/>
      <c r="J73" s="63"/>
      <c r="K73" s="63"/>
      <c r="L73" s="63"/>
    </row>
    <row r="74" spans="3:12" ht="15.75" customHeight="1">
      <c r="C74" s="1"/>
      <c r="D74" s="1"/>
      <c r="E74" s="1"/>
      <c r="F74" s="1"/>
      <c r="G74" s="1"/>
      <c r="H74" s="1"/>
      <c r="I74" s="2"/>
      <c r="J74" s="63"/>
      <c r="K74" s="63"/>
      <c r="L74" s="63"/>
    </row>
    <row r="75" spans="3:12" ht="15.75" customHeight="1">
      <c r="C75" s="1"/>
      <c r="D75" s="1"/>
      <c r="E75" s="1"/>
      <c r="F75" s="1"/>
      <c r="G75" s="1"/>
      <c r="H75" s="1"/>
      <c r="I75" s="2"/>
      <c r="J75" s="63"/>
      <c r="K75" s="63"/>
      <c r="L75" s="63"/>
    </row>
    <row r="76" spans="3:12" ht="15.75" customHeight="1">
      <c r="C76" s="1"/>
      <c r="D76" s="1"/>
      <c r="E76" s="1"/>
      <c r="F76" s="1"/>
      <c r="G76" s="1"/>
      <c r="H76" s="1"/>
      <c r="I76" s="2"/>
      <c r="J76" s="63"/>
      <c r="K76" s="63"/>
      <c r="L76" s="63"/>
    </row>
    <row r="77" spans="3:12" ht="15.75" customHeight="1">
      <c r="C77" s="1"/>
      <c r="D77" s="1"/>
      <c r="E77" s="1"/>
      <c r="F77" s="1"/>
      <c r="G77" s="1"/>
      <c r="H77" s="1"/>
      <c r="I77" s="2"/>
      <c r="J77" s="63"/>
      <c r="K77" s="63"/>
      <c r="L77" s="63"/>
    </row>
    <row r="78" spans="3:12" ht="15.75" customHeight="1">
      <c r="C78" s="1"/>
      <c r="D78" s="1"/>
      <c r="E78" s="1"/>
      <c r="F78" s="1"/>
      <c r="G78" s="1"/>
      <c r="H78" s="1"/>
      <c r="I78" s="2"/>
      <c r="J78" s="63"/>
      <c r="K78" s="63"/>
      <c r="L78" s="63"/>
    </row>
    <row r="79" spans="3:12" ht="15.75" customHeight="1">
      <c r="C79" s="1"/>
      <c r="D79" s="1"/>
      <c r="E79" s="1"/>
      <c r="F79" s="1"/>
      <c r="G79" s="1"/>
      <c r="H79" s="1"/>
      <c r="I79" s="2"/>
      <c r="J79" s="63"/>
      <c r="K79" s="63"/>
      <c r="L79" s="63"/>
    </row>
    <row r="80" spans="3:12" ht="15.75" customHeight="1">
      <c r="C80" s="1"/>
      <c r="D80" s="1"/>
      <c r="E80" s="1"/>
      <c r="F80" s="1"/>
      <c r="G80" s="1"/>
      <c r="H80" s="1"/>
      <c r="I80" s="2"/>
      <c r="J80" s="63"/>
      <c r="K80" s="63"/>
      <c r="L80" s="63"/>
    </row>
    <row r="81" spans="3:12" ht="15.75" customHeight="1">
      <c r="C81" s="1"/>
      <c r="D81" s="1"/>
      <c r="E81" s="1"/>
      <c r="F81" s="1"/>
      <c r="G81" s="1"/>
      <c r="H81" s="1"/>
      <c r="I81" s="2"/>
      <c r="J81" s="63"/>
      <c r="K81" s="63"/>
      <c r="L81" s="63"/>
    </row>
    <row r="82" spans="3:12" ht="15.75" customHeight="1">
      <c r="C82" s="1"/>
      <c r="D82" s="1"/>
      <c r="E82" s="1"/>
      <c r="F82" s="1"/>
      <c r="G82" s="1"/>
      <c r="H82" s="1"/>
      <c r="I82" s="2"/>
      <c r="J82" s="63"/>
      <c r="K82" s="63"/>
      <c r="L82" s="63"/>
    </row>
    <row r="83" spans="3:12" ht="15.75" customHeight="1">
      <c r="C83" s="1"/>
      <c r="D83" s="1"/>
      <c r="E83" s="1"/>
      <c r="F83" s="1"/>
      <c r="G83" s="1"/>
      <c r="H83" s="1"/>
      <c r="I83" s="2"/>
      <c r="J83" s="63"/>
      <c r="K83" s="63"/>
      <c r="L83" s="63"/>
    </row>
    <row r="84" spans="3:12" ht="15.75" customHeight="1">
      <c r="C84" s="1"/>
      <c r="D84" s="1"/>
      <c r="E84" s="1"/>
      <c r="F84" s="1"/>
      <c r="G84" s="1"/>
      <c r="H84" s="1"/>
      <c r="I84" s="2"/>
      <c r="J84" s="63"/>
      <c r="K84" s="63"/>
      <c r="L84" s="63"/>
    </row>
    <row r="85" spans="3:12" ht="15.75" customHeight="1">
      <c r="C85" s="1"/>
      <c r="D85" s="1"/>
      <c r="E85" s="1"/>
      <c r="F85" s="1"/>
      <c r="G85" s="1"/>
      <c r="H85" s="1"/>
      <c r="I85" s="2"/>
      <c r="J85" s="63"/>
      <c r="K85" s="63"/>
      <c r="L85" s="63"/>
    </row>
    <row r="86" spans="3:12" ht="15.75" customHeight="1">
      <c r="C86" s="1"/>
      <c r="D86" s="1"/>
      <c r="E86" s="1"/>
      <c r="F86" s="1"/>
      <c r="G86" s="1"/>
      <c r="H86" s="1"/>
      <c r="I86" s="2"/>
      <c r="J86" s="63"/>
      <c r="K86" s="63"/>
      <c r="L86" s="63"/>
    </row>
    <row r="87" spans="3:12" ht="15.75" customHeight="1">
      <c r="C87" s="1"/>
      <c r="D87" s="1"/>
      <c r="E87" s="1"/>
      <c r="F87" s="1"/>
      <c r="G87" s="1"/>
      <c r="H87" s="1"/>
      <c r="I87" s="2"/>
      <c r="J87" s="63"/>
      <c r="K87" s="63"/>
      <c r="L87" s="63"/>
    </row>
    <row r="88" spans="3:12" ht="15.75" customHeight="1">
      <c r="C88" s="1"/>
      <c r="D88" s="1"/>
      <c r="E88" s="1"/>
      <c r="F88" s="1"/>
      <c r="G88" s="1"/>
      <c r="H88" s="1"/>
      <c r="I88" s="2"/>
      <c r="J88" s="63"/>
      <c r="K88" s="63"/>
      <c r="L88" s="63"/>
    </row>
    <row r="89" spans="3:12" ht="15.75" customHeight="1">
      <c r="C89" s="1"/>
      <c r="D89" s="1"/>
      <c r="E89" s="1"/>
      <c r="F89" s="1"/>
      <c r="G89" s="1"/>
      <c r="H89" s="1"/>
      <c r="I89" s="2"/>
      <c r="J89" s="63"/>
      <c r="K89" s="63"/>
      <c r="L89" s="63"/>
    </row>
    <row r="90" spans="3:12" ht="15.75" customHeight="1">
      <c r="C90" s="1"/>
      <c r="D90" s="1"/>
      <c r="E90" s="1"/>
      <c r="F90" s="1"/>
      <c r="G90" s="1"/>
      <c r="H90" s="1"/>
      <c r="I90" s="2"/>
      <c r="J90" s="63"/>
      <c r="K90" s="63"/>
      <c r="L90" s="63"/>
    </row>
    <row r="91" spans="3:12" ht="15.75" customHeight="1">
      <c r="C91" s="1"/>
      <c r="D91" s="1"/>
      <c r="E91" s="1"/>
      <c r="F91" s="1"/>
      <c r="G91" s="1"/>
      <c r="H91" s="1"/>
      <c r="I91" s="2"/>
      <c r="J91" s="63"/>
      <c r="K91" s="63"/>
      <c r="L91" s="63"/>
    </row>
    <row r="92" spans="3:12" ht="15.75" customHeight="1">
      <c r="C92" s="1"/>
      <c r="D92" s="1"/>
      <c r="E92" s="1"/>
      <c r="F92" s="1"/>
      <c r="G92" s="1"/>
      <c r="H92" s="1"/>
      <c r="I92" s="2"/>
      <c r="J92" s="63"/>
      <c r="K92" s="63"/>
      <c r="L92" s="63"/>
    </row>
    <row r="93" spans="3:12" ht="15.75" customHeight="1">
      <c r="C93" s="1"/>
      <c r="D93" s="1"/>
      <c r="E93" s="1"/>
      <c r="F93" s="1"/>
      <c r="G93" s="1"/>
      <c r="H93" s="1"/>
      <c r="I93" s="2"/>
      <c r="J93" s="63"/>
      <c r="K93" s="63"/>
      <c r="L93" s="63"/>
    </row>
    <row r="94" spans="3:12" ht="15.75" customHeight="1">
      <c r="C94" s="1"/>
      <c r="D94" s="1"/>
      <c r="E94" s="1"/>
      <c r="F94" s="1"/>
      <c r="G94" s="1"/>
      <c r="H94" s="1"/>
      <c r="I94" s="2"/>
      <c r="J94" s="63"/>
      <c r="K94" s="63"/>
      <c r="L94" s="63"/>
    </row>
    <row r="95" spans="3:12" ht="15.75" customHeight="1">
      <c r="C95" s="1"/>
      <c r="D95" s="1"/>
      <c r="E95" s="1"/>
      <c r="F95" s="1"/>
      <c r="G95" s="1"/>
      <c r="H95" s="1"/>
      <c r="I95" s="2"/>
      <c r="J95" s="63"/>
      <c r="K95" s="63"/>
      <c r="L95" s="63"/>
    </row>
    <row r="96" spans="3:12" ht="15.75" customHeight="1">
      <c r="C96" s="1"/>
      <c r="D96" s="1"/>
      <c r="E96" s="1"/>
      <c r="F96" s="1"/>
      <c r="G96" s="1"/>
      <c r="H96" s="1"/>
      <c r="I96" s="2"/>
      <c r="J96" s="63"/>
      <c r="K96" s="63"/>
      <c r="L96" s="63"/>
    </row>
    <row r="97" spans="3:19" ht="15.75" customHeight="1">
      <c r="C97" s="1"/>
      <c r="D97" s="1"/>
      <c r="E97" s="1"/>
      <c r="F97" s="1"/>
      <c r="G97" s="1"/>
      <c r="H97" s="1"/>
      <c r="I97" s="2"/>
      <c r="J97" s="63"/>
      <c r="K97" s="63"/>
      <c r="L97" s="63"/>
    </row>
    <row r="98" spans="3:19" ht="15.75" customHeight="1">
      <c r="C98" s="1"/>
      <c r="D98" s="1"/>
      <c r="E98" s="1"/>
      <c r="F98" s="1"/>
      <c r="G98" s="1"/>
      <c r="H98" s="1"/>
      <c r="I98" s="2"/>
      <c r="J98" s="63"/>
      <c r="K98" s="63"/>
      <c r="L98" s="63"/>
    </row>
    <row r="99" spans="3:19" ht="15.75" customHeight="1">
      <c r="C99" s="1"/>
      <c r="D99" s="1"/>
      <c r="E99" s="1"/>
      <c r="F99" s="1"/>
      <c r="G99" s="1"/>
      <c r="H99" s="1"/>
      <c r="I99" s="2"/>
      <c r="J99" s="63"/>
      <c r="K99" s="63"/>
      <c r="L99" s="63"/>
    </row>
    <row r="100" spans="3:19" ht="15.75" customHeight="1">
      <c r="C100" s="1"/>
      <c r="D100" s="1"/>
      <c r="E100" s="1"/>
      <c r="F100" s="1"/>
      <c r="G100" s="1"/>
      <c r="H100" s="1"/>
      <c r="I100" s="2"/>
      <c r="J100" s="63"/>
      <c r="K100" s="63"/>
      <c r="L100" s="63"/>
    </row>
    <row r="101" spans="3:19" ht="15.75" customHeight="1">
      <c r="C101" s="1"/>
      <c r="D101" s="1"/>
      <c r="E101" s="1"/>
      <c r="F101" s="1"/>
      <c r="G101" s="1"/>
      <c r="H101" s="1"/>
      <c r="I101" s="2"/>
      <c r="J101" s="63"/>
      <c r="K101" s="63"/>
      <c r="L101" s="63"/>
    </row>
    <row r="102" spans="3:19" ht="15.75" customHeight="1">
      <c r="C102" s="1"/>
      <c r="D102" s="1"/>
      <c r="E102" s="1"/>
      <c r="F102" s="1"/>
      <c r="G102" s="1"/>
      <c r="H102" s="1"/>
      <c r="I102" s="2"/>
      <c r="J102" s="63"/>
      <c r="K102" s="63"/>
      <c r="L102" s="63"/>
    </row>
    <row r="103" spans="3:19" ht="15.75" customHeight="1">
      <c r="C103" s="1"/>
      <c r="D103" s="1"/>
      <c r="E103" s="1"/>
      <c r="F103" s="1"/>
      <c r="G103" s="1"/>
      <c r="H103" s="1"/>
      <c r="I103" s="2"/>
      <c r="J103" s="63"/>
      <c r="K103" s="63"/>
      <c r="L103" s="63"/>
    </row>
    <row r="104" spans="3:19" ht="15.75" customHeight="1">
      <c r="C104" s="1"/>
      <c r="D104" s="1"/>
      <c r="E104" s="1"/>
      <c r="F104" s="1"/>
      <c r="G104" s="1"/>
      <c r="H104" s="1"/>
      <c r="I104" s="2"/>
      <c r="J104" s="63"/>
      <c r="K104" s="63"/>
      <c r="L104" s="63"/>
    </row>
    <row r="105" spans="3:19" ht="15.75" customHeight="1">
      <c r="C105" s="1"/>
      <c r="D105" s="1"/>
      <c r="E105" s="1"/>
      <c r="F105" s="1"/>
      <c r="G105" s="1"/>
      <c r="H105" s="1"/>
      <c r="I105" s="2"/>
      <c r="J105" s="63"/>
      <c r="K105" s="63"/>
      <c r="L105" s="63"/>
    </row>
    <row r="106" spans="3:19" ht="15.75" customHeight="1">
      <c r="C106" s="1"/>
      <c r="D106" s="1"/>
      <c r="E106" s="1"/>
      <c r="F106" s="1"/>
      <c r="G106" s="1"/>
      <c r="H106" s="1"/>
      <c r="I106" s="2"/>
      <c r="J106" s="63"/>
      <c r="K106" s="63"/>
      <c r="L106" s="63"/>
    </row>
    <row r="107" spans="3:19" ht="15.75" customHeight="1">
      <c r="C107" s="1"/>
      <c r="D107" s="1"/>
      <c r="E107" s="1"/>
      <c r="F107" s="1"/>
      <c r="G107" s="1"/>
      <c r="H107" s="1"/>
      <c r="I107" s="2"/>
      <c r="J107" s="63"/>
      <c r="K107" s="63"/>
      <c r="L107" s="63"/>
    </row>
    <row r="108" spans="3:19" ht="15.75" customHeight="1">
      <c r="C108" s="1"/>
      <c r="D108" s="1"/>
      <c r="E108" s="1"/>
      <c r="F108" s="1"/>
      <c r="G108" s="1"/>
      <c r="H108" s="1"/>
      <c r="I108" s="2"/>
      <c r="J108" s="63"/>
      <c r="K108" s="63"/>
      <c r="L108" s="63"/>
    </row>
    <row r="109" spans="3:19" ht="15.75" customHeight="1">
      <c r="C109" s="1"/>
      <c r="I109" s="2"/>
      <c r="J109" s="63"/>
      <c r="K109" s="63"/>
      <c r="L109" s="63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63"/>
      <c r="K110" s="63"/>
      <c r="L110" s="63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63"/>
      <c r="K111" s="63"/>
      <c r="L111" s="63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63"/>
      <c r="K112" s="63"/>
      <c r="L112" s="63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63"/>
      <c r="K113" s="63"/>
      <c r="L113" s="63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63"/>
      <c r="K114" s="63"/>
      <c r="L114" s="63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63"/>
      <c r="K115" s="63"/>
      <c r="L115" s="63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63"/>
      <c r="K116" s="63"/>
      <c r="L116" s="63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63"/>
      <c r="K117" s="63"/>
      <c r="L117" s="63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63"/>
      <c r="K118" s="63"/>
      <c r="L118" s="63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63"/>
      <c r="K119" s="63"/>
      <c r="L119" s="63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63"/>
      <c r="K120" s="63"/>
      <c r="L120" s="63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63"/>
      <c r="K121" s="63"/>
      <c r="L121" s="63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63"/>
      <c r="K122" s="63"/>
      <c r="L122" s="63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63"/>
      <c r="K123" s="63"/>
      <c r="L123" s="63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63"/>
      <c r="K124" s="63"/>
      <c r="L124" s="63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63"/>
      <c r="K125" s="63"/>
      <c r="L125" s="63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63"/>
      <c r="K126" s="63"/>
      <c r="L126" s="63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63"/>
      <c r="K127" s="63"/>
      <c r="L127" s="63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63"/>
      <c r="K128" s="63"/>
      <c r="L128" s="63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63"/>
      <c r="K129" s="63"/>
      <c r="L129" s="63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63"/>
      <c r="K130" s="63"/>
      <c r="L130" s="63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63"/>
      <c r="K131" s="63"/>
      <c r="L131" s="63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63"/>
      <c r="K132" s="63"/>
      <c r="L132" s="63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63"/>
      <c r="K133" s="63"/>
      <c r="L133" s="63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63"/>
      <c r="K134" s="63"/>
      <c r="L134" s="63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63"/>
      <c r="K135" s="63"/>
      <c r="L135" s="63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63"/>
      <c r="K136" s="63"/>
      <c r="L136" s="63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63"/>
      <c r="K137" s="63"/>
      <c r="L137" s="63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63"/>
      <c r="K138" s="63"/>
      <c r="L138" s="63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63"/>
      <c r="K139" s="63"/>
      <c r="L139" s="63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63"/>
      <c r="K140" s="63"/>
      <c r="L140" s="63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63"/>
      <c r="K141" s="63"/>
      <c r="L141" s="63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63"/>
      <c r="K142" s="63"/>
      <c r="L142" s="63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63"/>
      <c r="K143" s="63"/>
      <c r="L143" s="63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63"/>
      <c r="K144" s="63"/>
      <c r="L144" s="63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63"/>
      <c r="K145" s="63"/>
      <c r="L145" s="63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63"/>
      <c r="K146" s="63"/>
      <c r="L146" s="63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63"/>
      <c r="K147" s="63"/>
      <c r="L147" s="63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63"/>
      <c r="K148" s="63"/>
      <c r="L148" s="63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63"/>
      <c r="K149" s="63"/>
      <c r="L149" s="63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63"/>
      <c r="K150" s="63"/>
      <c r="L150" s="63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63"/>
      <c r="K151" s="63"/>
      <c r="L151" s="63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63"/>
      <c r="K152" s="63"/>
      <c r="L152" s="63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63"/>
      <c r="K153" s="63"/>
      <c r="L153" s="63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63"/>
      <c r="K154" s="63"/>
      <c r="L154" s="63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63"/>
      <c r="K155" s="63"/>
      <c r="L155" s="63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63"/>
      <c r="K156" s="63"/>
      <c r="L156" s="63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63"/>
      <c r="K157" s="63"/>
      <c r="L157" s="63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63"/>
      <c r="K158" s="63"/>
      <c r="L158" s="63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63"/>
      <c r="K159" s="63"/>
      <c r="L159" s="63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63"/>
      <c r="K160" s="63"/>
      <c r="L160" s="63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63"/>
      <c r="K161" s="63"/>
      <c r="L161" s="63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63"/>
      <c r="K162" s="63"/>
      <c r="L162" s="63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63"/>
      <c r="K163" s="63"/>
      <c r="L163" s="63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63"/>
      <c r="K164" s="63"/>
      <c r="L164" s="63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63"/>
      <c r="K165" s="63"/>
      <c r="L165" s="63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63"/>
      <c r="K166" s="63"/>
      <c r="L166" s="63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63"/>
      <c r="K167" s="63"/>
      <c r="L167" s="63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63"/>
      <c r="K168" s="63"/>
      <c r="L168" s="63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63"/>
      <c r="K169" s="63"/>
      <c r="L169" s="63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63"/>
      <c r="K170" s="63"/>
      <c r="L170" s="63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63"/>
      <c r="K171" s="63"/>
      <c r="L171" s="63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63"/>
      <c r="K172" s="63"/>
      <c r="L172" s="63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63"/>
      <c r="K173" s="63"/>
      <c r="L173" s="63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63"/>
      <c r="K174" s="63"/>
      <c r="L174" s="63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63"/>
      <c r="K175" s="63"/>
      <c r="L175" s="63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63"/>
      <c r="K176" s="63"/>
      <c r="L176" s="63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63"/>
      <c r="K177" s="63"/>
      <c r="L177" s="63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63"/>
      <c r="K178" s="63"/>
      <c r="L178" s="63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63"/>
      <c r="K179" s="63"/>
      <c r="L179" s="63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63"/>
      <c r="K180" s="63"/>
      <c r="L180" s="63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63"/>
      <c r="K181" s="63"/>
      <c r="L181" s="63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63"/>
      <c r="K182" s="63"/>
      <c r="L182" s="63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63"/>
      <c r="K183" s="63"/>
      <c r="L183" s="63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63"/>
      <c r="K184" s="63"/>
      <c r="L184" s="63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63"/>
      <c r="K185" s="63"/>
      <c r="L185" s="63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63"/>
      <c r="K186" s="63"/>
      <c r="L186" s="63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63"/>
      <c r="K187" s="63"/>
      <c r="L187" s="63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63"/>
      <c r="K188" s="63"/>
      <c r="L188" s="63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63"/>
      <c r="K189" s="63"/>
      <c r="L189" s="63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63"/>
      <c r="K190" s="63"/>
      <c r="L190" s="63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63"/>
      <c r="K191" s="63"/>
      <c r="L191" s="63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63"/>
      <c r="K192" s="63"/>
      <c r="L192" s="63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63"/>
      <c r="K193" s="63"/>
      <c r="L193" s="63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63"/>
      <c r="K194" s="63"/>
      <c r="L194" s="63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63"/>
      <c r="K195" s="63"/>
      <c r="L195" s="63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63"/>
      <c r="K196" s="63"/>
      <c r="L196" s="63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63"/>
      <c r="K197" s="63"/>
      <c r="L197" s="63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63"/>
      <c r="K198" s="63"/>
      <c r="L198" s="63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63"/>
      <c r="K199" s="63"/>
      <c r="L199" s="63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63"/>
      <c r="K200" s="63"/>
      <c r="L200" s="63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63"/>
      <c r="K201" s="63"/>
      <c r="L201" s="63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63"/>
      <c r="K202" s="63"/>
      <c r="L202" s="63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63"/>
      <c r="K203" s="63"/>
      <c r="L203" s="63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63"/>
      <c r="K204" s="63"/>
      <c r="L204" s="63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63"/>
      <c r="K205" s="63"/>
      <c r="L205" s="63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63"/>
      <c r="K206" s="63"/>
      <c r="L206" s="63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63"/>
      <c r="K207" s="63"/>
      <c r="L207" s="63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63"/>
      <c r="K208" s="63"/>
      <c r="L208" s="63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63"/>
      <c r="K209" s="63"/>
      <c r="L209" s="63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63"/>
      <c r="K210" s="63"/>
      <c r="L210" s="63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63"/>
      <c r="K211" s="63"/>
      <c r="L211" s="63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63"/>
      <c r="K212" s="63"/>
      <c r="L212" s="63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63"/>
      <c r="K213" s="63"/>
      <c r="L213" s="63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63"/>
      <c r="K214" s="63"/>
      <c r="L214" s="63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63"/>
      <c r="K215" s="63"/>
      <c r="L215" s="63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63"/>
      <c r="K216" s="63"/>
      <c r="L216" s="63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63"/>
      <c r="K217" s="63"/>
      <c r="L217" s="63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63"/>
      <c r="K218" s="63"/>
      <c r="L218" s="63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63"/>
      <c r="K219" s="63"/>
      <c r="L219" s="63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63"/>
      <c r="K220" s="63"/>
      <c r="L220" s="63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63"/>
      <c r="K221" s="63"/>
      <c r="L221" s="63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63"/>
      <c r="K222" s="63"/>
      <c r="L222" s="63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63"/>
      <c r="K223" s="63"/>
      <c r="L223" s="63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63"/>
      <c r="K224" s="63"/>
      <c r="L224" s="63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63"/>
      <c r="K225" s="63"/>
      <c r="L225" s="63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63"/>
      <c r="K226" s="63"/>
      <c r="L226" s="63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63"/>
      <c r="K227" s="63"/>
      <c r="L227" s="63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63"/>
      <c r="K228" s="63"/>
      <c r="L228" s="63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63"/>
      <c r="K229" s="63"/>
      <c r="L229" s="63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63"/>
      <c r="K230" s="63"/>
      <c r="L230" s="63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63"/>
      <c r="K231" s="63"/>
      <c r="L231" s="63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63"/>
      <c r="K232" s="63"/>
      <c r="L232" s="63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63"/>
      <c r="K233" s="63"/>
      <c r="L233" s="63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63"/>
      <c r="K234" s="63"/>
      <c r="L234" s="63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63"/>
      <c r="K235" s="63"/>
      <c r="L235" s="63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63"/>
      <c r="K236" s="63"/>
      <c r="L236" s="63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63"/>
      <c r="K237" s="63"/>
      <c r="L237" s="63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63"/>
      <c r="K238" s="63"/>
      <c r="L238" s="63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63"/>
      <c r="K239" s="63"/>
      <c r="L239" s="63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63"/>
      <c r="K240" s="63"/>
      <c r="L240" s="63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63"/>
      <c r="K241" s="63"/>
      <c r="L241" s="63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63"/>
      <c r="K242" s="63"/>
      <c r="L242" s="63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63"/>
      <c r="K243" s="63"/>
      <c r="L243" s="63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63"/>
      <c r="K244" s="63"/>
      <c r="L244" s="63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63"/>
      <c r="K245" s="63"/>
      <c r="L245" s="63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63"/>
      <c r="K246" s="63"/>
      <c r="L246" s="63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63"/>
      <c r="K247" s="63"/>
      <c r="L247" s="63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63"/>
      <c r="K248" s="63"/>
      <c r="L248" s="63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63"/>
      <c r="K249" s="63"/>
      <c r="L249" s="63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63"/>
      <c r="K250" s="63"/>
      <c r="L250" s="63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63"/>
      <c r="K251" s="63"/>
      <c r="L251" s="63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63"/>
      <c r="K252" s="63"/>
      <c r="L252" s="63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63"/>
      <c r="K253" s="63"/>
      <c r="L253" s="63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63"/>
      <c r="K254" s="63"/>
      <c r="L254" s="63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63"/>
      <c r="K255" s="63"/>
      <c r="L255" s="63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63"/>
      <c r="K256" s="63"/>
      <c r="L256" s="63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63"/>
      <c r="K257" s="63"/>
      <c r="L257" s="63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63"/>
      <c r="K258" s="63"/>
      <c r="L258" s="63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63"/>
      <c r="K259" s="63"/>
      <c r="L259" s="63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63"/>
      <c r="K260" s="63"/>
      <c r="L260" s="63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63"/>
      <c r="K261" s="63"/>
      <c r="L261" s="63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63"/>
      <c r="K262" s="63"/>
      <c r="L262" s="63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63"/>
      <c r="K263" s="63"/>
      <c r="L263" s="63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63"/>
      <c r="K264" s="63"/>
      <c r="L264" s="63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63"/>
      <c r="K265" s="63"/>
      <c r="L265" s="63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63"/>
      <c r="K266" s="63"/>
      <c r="L266" s="63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63"/>
      <c r="K267" s="63"/>
      <c r="L267" s="63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63"/>
      <c r="K268" s="63"/>
      <c r="L268" s="63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63"/>
      <c r="K269" s="63"/>
      <c r="L269" s="63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63"/>
      <c r="K270" s="63"/>
      <c r="L270" s="63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63"/>
      <c r="K271" s="63"/>
      <c r="L271" s="63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63"/>
      <c r="K272" s="63"/>
      <c r="L272" s="63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63"/>
      <c r="K273" s="63"/>
      <c r="L273" s="63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63"/>
      <c r="K274" s="63"/>
      <c r="L274" s="63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63"/>
      <c r="K275" s="63"/>
      <c r="L275" s="63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63"/>
      <c r="K276" s="63"/>
      <c r="L276" s="63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63"/>
      <c r="K277" s="63"/>
      <c r="L277" s="63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63"/>
      <c r="K278" s="63"/>
      <c r="L278" s="63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63"/>
      <c r="K279" s="63"/>
      <c r="L279" s="63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63"/>
      <c r="K280" s="63"/>
      <c r="L280" s="63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63"/>
      <c r="K281" s="63"/>
      <c r="L281" s="63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63"/>
      <c r="K282" s="63"/>
      <c r="L282" s="63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63"/>
      <c r="K283" s="63"/>
      <c r="L283" s="63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63"/>
      <c r="K284" s="63"/>
      <c r="L284" s="63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63"/>
      <c r="K285" s="63"/>
      <c r="L285" s="63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63"/>
      <c r="K286" s="63"/>
      <c r="L286" s="63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63"/>
      <c r="K287" s="63"/>
      <c r="L287" s="63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63"/>
      <c r="K288" s="63"/>
      <c r="L288" s="63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63"/>
      <c r="K289" s="63"/>
      <c r="L289" s="63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63"/>
      <c r="K290" s="63"/>
      <c r="L290" s="63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63"/>
      <c r="K291" s="63"/>
      <c r="L291" s="63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63"/>
      <c r="K292" s="63"/>
      <c r="L292" s="63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63"/>
      <c r="K293" s="63"/>
      <c r="L293" s="63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63"/>
      <c r="K294" s="63"/>
      <c r="L294" s="63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63"/>
      <c r="K295" s="63"/>
      <c r="L295" s="63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63"/>
      <c r="K296" s="63"/>
      <c r="L296" s="63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63"/>
      <c r="K297" s="63"/>
      <c r="L297" s="63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63"/>
      <c r="K298" s="63"/>
      <c r="L298" s="63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63"/>
      <c r="K299" s="63"/>
      <c r="L299" s="63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63"/>
      <c r="K300" s="63"/>
      <c r="L300" s="63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63"/>
      <c r="K301" s="63"/>
      <c r="L301" s="63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63"/>
      <c r="K302" s="63"/>
      <c r="L302" s="63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63"/>
      <c r="K303" s="63"/>
      <c r="L303" s="63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63"/>
      <c r="K304" s="63"/>
      <c r="L304" s="63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63"/>
      <c r="K305" s="63"/>
      <c r="L305" s="63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63"/>
      <c r="K306" s="63"/>
      <c r="L306" s="63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63"/>
      <c r="K307" s="63"/>
      <c r="L307" s="63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63"/>
      <c r="K308" s="63"/>
      <c r="L308" s="63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63"/>
      <c r="K309" s="63"/>
      <c r="L309" s="63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63"/>
      <c r="K310" s="63"/>
      <c r="L310" s="63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63"/>
      <c r="K311" s="63"/>
      <c r="L311" s="63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63"/>
      <c r="K312" s="63"/>
      <c r="L312" s="63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63"/>
      <c r="K313" s="63"/>
      <c r="L313" s="63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63"/>
      <c r="K314" s="63"/>
      <c r="L314" s="63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63"/>
      <c r="K315" s="63"/>
      <c r="L315" s="63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63"/>
      <c r="K316" s="63"/>
      <c r="L316" s="63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63"/>
      <c r="K317" s="63"/>
      <c r="L317" s="63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63"/>
      <c r="K318" s="63"/>
      <c r="L318" s="63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63"/>
      <c r="K319" s="63"/>
      <c r="L319" s="63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63"/>
      <c r="K320" s="63"/>
      <c r="L320" s="63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63"/>
      <c r="K321" s="63"/>
      <c r="L321" s="63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63"/>
      <c r="K322" s="63"/>
      <c r="L322" s="63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63"/>
      <c r="K323" s="63"/>
      <c r="L323" s="63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63"/>
      <c r="K324" s="63"/>
      <c r="L324" s="63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63"/>
      <c r="K325" s="63"/>
      <c r="L325" s="63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63"/>
      <c r="K326" s="63"/>
      <c r="L326" s="63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63"/>
      <c r="K327" s="63"/>
      <c r="L327" s="63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63"/>
      <c r="K328" s="63"/>
      <c r="L328" s="63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63"/>
      <c r="K329" s="63"/>
      <c r="L329" s="63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63"/>
      <c r="K330" s="63"/>
      <c r="L330" s="63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63"/>
      <c r="K331" s="63"/>
      <c r="L331" s="63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63"/>
      <c r="K332" s="63"/>
      <c r="L332" s="63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63"/>
      <c r="K333" s="63"/>
      <c r="L333" s="63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63"/>
      <c r="K334" s="63"/>
      <c r="L334" s="63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63"/>
      <c r="K335" s="63"/>
      <c r="L335" s="63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63"/>
      <c r="K336" s="63"/>
      <c r="L336" s="63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63"/>
      <c r="K337" s="63"/>
      <c r="L337" s="63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63"/>
      <c r="K338" s="63"/>
      <c r="L338" s="63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63"/>
      <c r="K339" s="63"/>
      <c r="L339" s="63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63"/>
      <c r="K340" s="63"/>
      <c r="L340" s="63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63"/>
      <c r="K341" s="63"/>
      <c r="L341" s="63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63"/>
      <c r="K342" s="63"/>
      <c r="L342" s="63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63"/>
      <c r="K343" s="63"/>
      <c r="L343" s="63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63"/>
      <c r="K344" s="63"/>
      <c r="L344" s="63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63"/>
      <c r="K345" s="63"/>
      <c r="L345" s="63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63"/>
      <c r="K346" s="63"/>
      <c r="L346" s="63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63"/>
      <c r="K347" s="63"/>
      <c r="L347" s="63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63"/>
      <c r="K348" s="63"/>
      <c r="L348" s="63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63"/>
      <c r="K349" s="63"/>
      <c r="L349" s="63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63"/>
      <c r="K350" s="63"/>
      <c r="L350" s="63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63"/>
      <c r="K351" s="63"/>
      <c r="L351" s="63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63"/>
      <c r="K352" s="63"/>
      <c r="L352" s="63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63"/>
      <c r="K353" s="63"/>
      <c r="L353" s="63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63"/>
      <c r="K354" s="63"/>
      <c r="L354" s="63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63"/>
      <c r="K355" s="63"/>
      <c r="L355" s="63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63"/>
      <c r="K356" s="63"/>
      <c r="L356" s="63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63"/>
      <c r="K357" s="63"/>
      <c r="L357" s="63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63"/>
      <c r="K358" s="63"/>
      <c r="L358" s="63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63"/>
      <c r="K359" s="63"/>
      <c r="L359" s="63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63"/>
      <c r="K360" s="63"/>
      <c r="L360" s="63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63"/>
      <c r="K361" s="63"/>
      <c r="L361" s="63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63"/>
      <c r="K362" s="63"/>
      <c r="L362" s="63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63"/>
      <c r="K363" s="63"/>
      <c r="L363" s="63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63"/>
      <c r="K364" s="63"/>
      <c r="L364" s="63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63"/>
      <c r="K365" s="63"/>
      <c r="L365" s="63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63"/>
      <c r="K366" s="63"/>
      <c r="L366" s="63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63"/>
      <c r="K367" s="63"/>
      <c r="L367" s="63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63"/>
      <c r="K368" s="63"/>
      <c r="L368" s="63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63"/>
      <c r="K369" s="63"/>
      <c r="L369" s="63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63"/>
      <c r="K370" s="63"/>
      <c r="L370" s="63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63"/>
      <c r="K371" s="63"/>
      <c r="L371" s="63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63"/>
      <c r="K372" s="63"/>
      <c r="L372" s="63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63"/>
      <c r="K373" s="63"/>
      <c r="L373" s="63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63"/>
      <c r="K374" s="63"/>
      <c r="L374" s="63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63"/>
      <c r="K375" s="63"/>
      <c r="L375" s="63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63"/>
      <c r="K376" s="63"/>
      <c r="L376" s="63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63"/>
      <c r="K377" s="63"/>
      <c r="L377" s="63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63"/>
      <c r="K378" s="63"/>
      <c r="L378" s="63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63"/>
      <c r="K379" s="63"/>
      <c r="L379" s="63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63"/>
      <c r="K380" s="63"/>
      <c r="L380" s="63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63"/>
      <c r="K381" s="63"/>
      <c r="L381" s="63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63"/>
      <c r="K382" s="63"/>
      <c r="L382" s="63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63"/>
      <c r="K383" s="63"/>
      <c r="L383" s="63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63"/>
      <c r="K384" s="63"/>
      <c r="L384" s="63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63"/>
      <c r="K385" s="63"/>
      <c r="L385" s="63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63"/>
      <c r="K386" s="63"/>
      <c r="L386" s="63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63"/>
      <c r="K387" s="63"/>
      <c r="L387" s="63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63"/>
      <c r="K388" s="63"/>
      <c r="L388" s="63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63"/>
      <c r="K389" s="63"/>
      <c r="L389" s="63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63"/>
      <c r="K390" s="63"/>
      <c r="L390" s="63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63"/>
      <c r="K391" s="63"/>
      <c r="L391" s="63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63"/>
      <c r="K392" s="63"/>
      <c r="L392" s="63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63"/>
      <c r="K393" s="63"/>
      <c r="L393" s="63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63"/>
      <c r="K394" s="63"/>
      <c r="L394" s="63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63"/>
      <c r="K395" s="63"/>
      <c r="L395" s="63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63"/>
      <c r="K396" s="63"/>
      <c r="L396" s="63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63"/>
      <c r="K397" s="63"/>
      <c r="L397" s="63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63"/>
      <c r="K398" s="63"/>
      <c r="L398" s="63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63"/>
      <c r="K399" s="63"/>
      <c r="L399" s="63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63"/>
      <c r="K400" s="63"/>
      <c r="L400" s="63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63"/>
      <c r="K401" s="63"/>
      <c r="L401" s="63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63"/>
      <c r="K402" s="63"/>
      <c r="L402" s="63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63"/>
      <c r="K403" s="63"/>
      <c r="L403" s="63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63"/>
      <c r="K404" s="63"/>
      <c r="L404" s="63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63"/>
      <c r="K405" s="63"/>
      <c r="L405" s="63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63"/>
      <c r="K406" s="63"/>
      <c r="L406" s="63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63"/>
      <c r="K407" s="63"/>
      <c r="L407" s="63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63"/>
      <c r="K408" s="63"/>
      <c r="L408" s="63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63"/>
      <c r="K409" s="63"/>
      <c r="L409" s="63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63"/>
      <c r="K410" s="63"/>
      <c r="L410" s="63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63"/>
      <c r="K411" s="63"/>
      <c r="L411" s="63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63"/>
      <c r="K412" s="63"/>
      <c r="L412" s="63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63"/>
      <c r="K413" s="63"/>
      <c r="L413" s="63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63"/>
      <c r="K414" s="63"/>
      <c r="L414" s="63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63"/>
      <c r="K415" s="63"/>
      <c r="L415" s="63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63"/>
      <c r="K416" s="63"/>
      <c r="L416" s="63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63"/>
      <c r="K417" s="63"/>
      <c r="L417" s="63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63"/>
      <c r="K418" s="63"/>
      <c r="L418" s="63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63"/>
      <c r="K419" s="63"/>
      <c r="L419" s="63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63"/>
      <c r="K420" s="63"/>
      <c r="L420" s="63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63"/>
      <c r="K421" s="63"/>
      <c r="L421" s="63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63"/>
      <c r="K422" s="63"/>
      <c r="L422" s="63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63"/>
      <c r="K423" s="63"/>
      <c r="L423" s="63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63"/>
      <c r="K424" s="63"/>
      <c r="L424" s="63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63"/>
      <c r="K425" s="63"/>
      <c r="L425" s="63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63"/>
      <c r="K426" s="63"/>
      <c r="L426" s="63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63"/>
      <c r="K427" s="63"/>
      <c r="L427" s="63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63"/>
      <c r="K428" s="63"/>
      <c r="L428" s="63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63"/>
      <c r="K429" s="63"/>
      <c r="L429" s="63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63"/>
      <c r="K430" s="63"/>
      <c r="L430" s="63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63"/>
      <c r="K431" s="63"/>
      <c r="L431" s="63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63"/>
      <c r="K432" s="63"/>
      <c r="L432" s="63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63"/>
      <c r="K433" s="63"/>
      <c r="L433" s="63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63"/>
      <c r="K434" s="63"/>
      <c r="L434" s="63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63"/>
      <c r="K435" s="63"/>
      <c r="L435" s="63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63"/>
      <c r="K436" s="63"/>
      <c r="L436" s="63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63"/>
      <c r="K437" s="63"/>
      <c r="L437" s="63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63"/>
      <c r="K438" s="63"/>
      <c r="L438" s="63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63"/>
      <c r="K439" s="63"/>
      <c r="L439" s="63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63"/>
      <c r="K440" s="63"/>
      <c r="L440" s="63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63"/>
      <c r="K441" s="63"/>
      <c r="L441" s="63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63"/>
      <c r="K442" s="63"/>
      <c r="L442" s="63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63"/>
      <c r="K443" s="63"/>
      <c r="L443" s="63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63"/>
      <c r="K444" s="63"/>
      <c r="L444" s="63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63"/>
      <c r="K445" s="63"/>
      <c r="L445" s="63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63"/>
      <c r="K446" s="63"/>
      <c r="L446" s="63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63"/>
      <c r="K447" s="63"/>
      <c r="L447" s="63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63"/>
      <c r="K448" s="63"/>
      <c r="L448" s="63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63"/>
      <c r="K449" s="63"/>
      <c r="L449" s="63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63"/>
      <c r="K450" s="63"/>
      <c r="L450" s="63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63"/>
      <c r="K451" s="63"/>
      <c r="L451" s="63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63"/>
      <c r="K452" s="63"/>
      <c r="L452" s="63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63"/>
      <c r="K453" s="63"/>
      <c r="L453" s="63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63"/>
      <c r="K454" s="63"/>
      <c r="L454" s="63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63"/>
      <c r="K455" s="63"/>
      <c r="L455" s="63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63"/>
      <c r="K456" s="63"/>
      <c r="L456" s="63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63"/>
      <c r="K457" s="63"/>
      <c r="L457" s="63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63"/>
      <c r="K458" s="63"/>
      <c r="L458" s="63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63"/>
      <c r="K459" s="63"/>
      <c r="L459" s="63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63"/>
      <c r="K460" s="63"/>
      <c r="L460" s="63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63"/>
      <c r="K461" s="63"/>
      <c r="L461" s="63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63"/>
      <c r="K462" s="63"/>
      <c r="L462" s="63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63"/>
      <c r="K463" s="63"/>
      <c r="L463" s="63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63"/>
      <c r="K464" s="63"/>
      <c r="L464" s="63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63"/>
      <c r="K465" s="63"/>
      <c r="L465" s="63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63"/>
      <c r="K466" s="63"/>
      <c r="L466" s="63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63"/>
      <c r="K467" s="63"/>
      <c r="L467" s="63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63"/>
      <c r="K468" s="63"/>
      <c r="L468" s="63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63"/>
      <c r="K469" s="63"/>
      <c r="L469" s="63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63"/>
      <c r="K470" s="63"/>
      <c r="L470" s="63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63"/>
      <c r="K471" s="63"/>
      <c r="L471" s="63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63"/>
      <c r="K472" s="63"/>
      <c r="L472" s="63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63"/>
      <c r="K473" s="63"/>
      <c r="L473" s="63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63"/>
      <c r="K474" s="63"/>
      <c r="L474" s="63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63"/>
      <c r="K475" s="63"/>
      <c r="L475" s="63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63"/>
      <c r="K476" s="63"/>
      <c r="L476" s="63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63"/>
      <c r="K477" s="63"/>
      <c r="L477" s="63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63"/>
      <c r="K478" s="63"/>
      <c r="L478" s="63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63"/>
      <c r="K479" s="63"/>
      <c r="L479" s="63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63"/>
      <c r="K480" s="63"/>
      <c r="L480" s="63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63"/>
      <c r="K481" s="63"/>
      <c r="L481" s="63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63"/>
      <c r="K482" s="63"/>
      <c r="L482" s="63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63"/>
      <c r="K483" s="63"/>
      <c r="L483" s="63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63"/>
      <c r="K484" s="63"/>
      <c r="L484" s="63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63"/>
      <c r="K485" s="63"/>
      <c r="L485" s="63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63"/>
      <c r="K486" s="63"/>
      <c r="L486" s="63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63"/>
      <c r="K487" s="63"/>
      <c r="L487" s="63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63"/>
      <c r="K488" s="63"/>
      <c r="L488" s="63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63"/>
      <c r="K489" s="63"/>
      <c r="L489" s="63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63"/>
      <c r="K490" s="63"/>
      <c r="L490" s="63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63"/>
      <c r="K491" s="63"/>
      <c r="L491" s="63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63"/>
      <c r="K492" s="63"/>
      <c r="L492" s="63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63"/>
      <c r="K493" s="63"/>
      <c r="L493" s="63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63"/>
      <c r="K494" s="63"/>
      <c r="L494" s="63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63"/>
      <c r="K495" s="63"/>
      <c r="L495" s="63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63"/>
      <c r="K496" s="63"/>
      <c r="L496" s="63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63"/>
      <c r="K497" s="63"/>
      <c r="L497" s="63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63"/>
      <c r="K498" s="63"/>
      <c r="L498" s="63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63"/>
      <c r="K499" s="63"/>
      <c r="L499" s="63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63"/>
      <c r="K500" s="63"/>
      <c r="L500" s="63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63"/>
      <c r="K501" s="63"/>
      <c r="L501" s="63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63"/>
      <c r="K502" s="63"/>
      <c r="L502" s="63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63"/>
      <c r="K503" s="63"/>
      <c r="L503" s="63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63"/>
      <c r="K504" s="63"/>
      <c r="L504" s="63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63"/>
      <c r="K505" s="63"/>
      <c r="L505" s="63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63"/>
      <c r="K506" s="63"/>
      <c r="L506" s="63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63"/>
      <c r="K507" s="63"/>
      <c r="L507" s="63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63"/>
      <c r="K508" s="63"/>
      <c r="L508" s="63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63"/>
      <c r="K509" s="63"/>
      <c r="L509" s="63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63"/>
      <c r="K510" s="63"/>
      <c r="L510" s="63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63"/>
      <c r="K511" s="63"/>
      <c r="L511" s="63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63"/>
      <c r="K512" s="63"/>
      <c r="L512" s="63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63"/>
      <c r="K513" s="63"/>
      <c r="L513" s="63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63"/>
      <c r="K514" s="63"/>
      <c r="L514" s="63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63"/>
      <c r="K515" s="63"/>
      <c r="L515" s="63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63"/>
      <c r="K516" s="63"/>
      <c r="L516" s="63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63"/>
      <c r="K517" s="63"/>
      <c r="L517" s="63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63"/>
      <c r="K518" s="63"/>
      <c r="L518" s="63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63"/>
      <c r="K519" s="63"/>
      <c r="L519" s="63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63"/>
      <c r="K520" s="63"/>
      <c r="L520" s="63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63"/>
      <c r="K521" s="63"/>
      <c r="L521" s="63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63"/>
      <c r="K522" s="63"/>
      <c r="L522" s="63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63"/>
      <c r="K523" s="63"/>
      <c r="L523" s="63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63"/>
      <c r="K524" s="63"/>
      <c r="L524" s="63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63"/>
      <c r="K525" s="63"/>
      <c r="L525" s="63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63"/>
      <c r="K526" s="63"/>
      <c r="L526" s="63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63"/>
      <c r="K527" s="63"/>
      <c r="L527" s="63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63"/>
      <c r="K528" s="63"/>
      <c r="L528" s="63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63"/>
      <c r="K529" s="63"/>
      <c r="L529" s="63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63"/>
      <c r="K530" s="63"/>
      <c r="L530" s="63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63"/>
      <c r="K531" s="63"/>
      <c r="L531" s="63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63"/>
      <c r="K532" s="63"/>
      <c r="L532" s="63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63"/>
      <c r="K533" s="63"/>
      <c r="L533" s="63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63"/>
      <c r="K534" s="63"/>
      <c r="L534" s="63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63"/>
      <c r="K535" s="63"/>
      <c r="L535" s="63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63"/>
      <c r="K536" s="63"/>
      <c r="L536" s="63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63"/>
      <c r="K537" s="63"/>
      <c r="L537" s="63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63"/>
      <c r="K538" s="63"/>
      <c r="L538" s="63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63"/>
      <c r="K539" s="63"/>
      <c r="L539" s="63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63"/>
      <c r="K540" s="63"/>
      <c r="L540" s="63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63"/>
      <c r="K541" s="63"/>
      <c r="L541" s="63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63"/>
      <c r="K542" s="63"/>
      <c r="L542" s="63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63"/>
      <c r="K543" s="63"/>
      <c r="L543" s="63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63"/>
      <c r="K544" s="63"/>
      <c r="L544" s="63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63"/>
      <c r="K545" s="63"/>
      <c r="L545" s="63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63"/>
      <c r="K546" s="63"/>
      <c r="L546" s="63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63"/>
      <c r="K547" s="63"/>
      <c r="L547" s="63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63"/>
      <c r="K548" s="63"/>
      <c r="L548" s="63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63"/>
      <c r="K549" s="63"/>
      <c r="L549" s="63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63"/>
      <c r="K550" s="63"/>
      <c r="L550" s="63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63"/>
      <c r="K551" s="63"/>
      <c r="L551" s="63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63"/>
      <c r="K552" s="63"/>
      <c r="L552" s="63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63"/>
      <c r="K553" s="63"/>
      <c r="L553" s="63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63"/>
      <c r="K554" s="63"/>
      <c r="L554" s="63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63"/>
      <c r="K555" s="63"/>
      <c r="L555" s="63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63"/>
      <c r="K556" s="63"/>
      <c r="L556" s="63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63"/>
      <c r="K557" s="63"/>
      <c r="L557" s="63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63"/>
      <c r="K558" s="63"/>
      <c r="L558" s="63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63"/>
      <c r="K559" s="63"/>
      <c r="L559" s="63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63"/>
      <c r="K560" s="63"/>
      <c r="L560" s="63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63"/>
      <c r="K561" s="63"/>
      <c r="L561" s="63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63"/>
      <c r="K562" s="63"/>
      <c r="L562" s="63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63"/>
      <c r="K563" s="63"/>
      <c r="L563" s="63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63"/>
      <c r="K564" s="63"/>
      <c r="L564" s="63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63"/>
      <c r="K565" s="63"/>
      <c r="L565" s="63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63"/>
      <c r="K566" s="63"/>
      <c r="L566" s="63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63"/>
      <c r="K567" s="63"/>
      <c r="L567" s="63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63"/>
      <c r="K568" s="63"/>
      <c r="L568" s="63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63"/>
      <c r="K569" s="63"/>
      <c r="L569" s="63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63"/>
      <c r="K570" s="63"/>
      <c r="L570" s="63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63"/>
      <c r="K571" s="63"/>
      <c r="L571" s="63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63"/>
      <c r="K572" s="63"/>
      <c r="L572" s="63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63"/>
      <c r="K573" s="63"/>
      <c r="L573" s="63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63"/>
      <c r="K574" s="63"/>
      <c r="L574" s="63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63"/>
      <c r="K575" s="63"/>
      <c r="L575" s="63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63"/>
      <c r="K576" s="63"/>
      <c r="L576" s="63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63"/>
      <c r="K577" s="63"/>
      <c r="L577" s="63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63"/>
      <c r="K578" s="63"/>
      <c r="L578" s="63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63"/>
      <c r="K579" s="63"/>
      <c r="L579" s="63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63"/>
      <c r="K580" s="63"/>
      <c r="L580" s="63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63"/>
      <c r="K581" s="63"/>
      <c r="L581" s="63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63"/>
      <c r="K582" s="63"/>
      <c r="L582" s="63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63"/>
      <c r="K583" s="63"/>
      <c r="L583" s="63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63"/>
      <c r="K584" s="63"/>
      <c r="L584" s="63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63"/>
      <c r="K585" s="63"/>
      <c r="L585" s="63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63"/>
      <c r="K586" s="63"/>
      <c r="L586" s="63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63"/>
      <c r="K587" s="63"/>
      <c r="L587" s="63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63"/>
      <c r="K588" s="63"/>
      <c r="L588" s="63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63"/>
      <c r="K589" s="63"/>
      <c r="L589" s="63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63"/>
      <c r="K590" s="63"/>
      <c r="L590" s="63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63"/>
      <c r="K591" s="63"/>
      <c r="L591" s="63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63"/>
      <c r="K592" s="63"/>
      <c r="L592" s="63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63"/>
      <c r="K593" s="63"/>
      <c r="L593" s="63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63"/>
      <c r="K594" s="63"/>
      <c r="L594" s="63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63"/>
      <c r="K595" s="63"/>
      <c r="L595" s="63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63"/>
      <c r="K596" s="63"/>
      <c r="L596" s="63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63"/>
      <c r="K597" s="63"/>
      <c r="L597" s="63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63"/>
      <c r="K598" s="63"/>
      <c r="L598" s="63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63"/>
      <c r="K599" s="63"/>
      <c r="L599" s="63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63"/>
      <c r="K600" s="63"/>
      <c r="L600" s="63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63"/>
      <c r="K601" s="63"/>
      <c r="L601" s="63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63"/>
      <c r="K602" s="63"/>
      <c r="L602" s="63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63"/>
      <c r="K603" s="63"/>
      <c r="L603" s="63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63"/>
      <c r="K604" s="63"/>
      <c r="L604" s="63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63"/>
      <c r="K605" s="63"/>
      <c r="L605" s="63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63"/>
      <c r="K606" s="63"/>
      <c r="L606" s="63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63"/>
      <c r="K607" s="63"/>
      <c r="L607" s="63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63"/>
      <c r="K608" s="63"/>
      <c r="L608" s="63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63"/>
      <c r="K609" s="63"/>
      <c r="L609" s="63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63"/>
      <c r="K610" s="63"/>
      <c r="L610" s="63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63"/>
      <c r="K611" s="63"/>
      <c r="L611" s="63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63"/>
      <c r="K612" s="63"/>
      <c r="L612" s="63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63"/>
      <c r="K613" s="63"/>
      <c r="L613" s="63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63"/>
      <c r="K614" s="63"/>
      <c r="L614" s="63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63"/>
      <c r="K615" s="63"/>
      <c r="L615" s="63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63"/>
      <c r="K616" s="63"/>
      <c r="L616" s="63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63"/>
      <c r="K617" s="63"/>
      <c r="L617" s="63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63"/>
      <c r="K618" s="63"/>
      <c r="L618" s="63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63"/>
      <c r="K619" s="63"/>
      <c r="L619" s="63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63"/>
      <c r="K620" s="63"/>
      <c r="L620" s="63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63"/>
      <c r="K621" s="63"/>
      <c r="L621" s="63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63"/>
      <c r="K622" s="63"/>
      <c r="L622" s="63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63"/>
      <c r="K623" s="63"/>
      <c r="L623" s="63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63"/>
      <c r="K624" s="63"/>
      <c r="L624" s="63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63"/>
      <c r="K625" s="63"/>
      <c r="L625" s="63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63"/>
      <c r="K626" s="63"/>
      <c r="L626" s="63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63"/>
      <c r="K627" s="63"/>
      <c r="L627" s="63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63"/>
      <c r="K628" s="63"/>
      <c r="L628" s="63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63"/>
      <c r="K629" s="63"/>
      <c r="L629" s="63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63"/>
      <c r="K630" s="63"/>
      <c r="L630" s="63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63"/>
      <c r="K631" s="63"/>
      <c r="L631" s="63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63"/>
      <c r="K632" s="63"/>
      <c r="L632" s="63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63"/>
      <c r="K633" s="63"/>
      <c r="L633" s="63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63"/>
      <c r="K634" s="63"/>
      <c r="L634" s="63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63"/>
      <c r="K635" s="63"/>
      <c r="L635" s="63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63"/>
      <c r="K636" s="63"/>
      <c r="L636" s="63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63"/>
      <c r="K637" s="63"/>
      <c r="L637" s="63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63"/>
      <c r="K638" s="63"/>
      <c r="L638" s="63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63"/>
      <c r="K639" s="63"/>
      <c r="L639" s="63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63"/>
      <c r="K640" s="63"/>
      <c r="L640" s="63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63"/>
      <c r="K641" s="63"/>
      <c r="L641" s="63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63"/>
      <c r="K642" s="63"/>
      <c r="L642" s="63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63"/>
      <c r="K643" s="63"/>
      <c r="L643" s="63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63"/>
      <c r="K644" s="63"/>
      <c r="L644" s="63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63"/>
      <c r="K645" s="63"/>
      <c r="L645" s="63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63"/>
      <c r="K646" s="63"/>
      <c r="L646" s="63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63"/>
      <c r="K647" s="63"/>
      <c r="L647" s="63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63"/>
      <c r="K648" s="63"/>
      <c r="L648" s="63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63"/>
      <c r="K649" s="63"/>
      <c r="L649" s="63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63"/>
      <c r="K650" s="63"/>
      <c r="L650" s="63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63"/>
      <c r="K651" s="63"/>
      <c r="L651" s="63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63"/>
      <c r="K652" s="63"/>
      <c r="L652" s="63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63"/>
      <c r="K653" s="63"/>
      <c r="L653" s="63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63"/>
      <c r="K654" s="63"/>
      <c r="L654" s="63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63"/>
      <c r="K655" s="63"/>
      <c r="L655" s="63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63"/>
      <c r="K656" s="63"/>
      <c r="L656" s="63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63"/>
      <c r="K657" s="63"/>
      <c r="L657" s="63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63"/>
      <c r="K658" s="63"/>
      <c r="L658" s="63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63"/>
      <c r="K659" s="63"/>
      <c r="L659" s="63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63"/>
      <c r="K660" s="63"/>
      <c r="L660" s="63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63"/>
      <c r="K661" s="63"/>
      <c r="L661" s="63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63"/>
      <c r="K662" s="63"/>
      <c r="L662" s="63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63"/>
      <c r="K663" s="63"/>
      <c r="L663" s="63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63"/>
      <c r="K664" s="63"/>
      <c r="L664" s="63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63"/>
      <c r="K665" s="63"/>
      <c r="L665" s="63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63"/>
      <c r="K666" s="63"/>
      <c r="L666" s="63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63"/>
      <c r="K667" s="63"/>
      <c r="L667" s="63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63"/>
      <c r="K668" s="63"/>
      <c r="L668" s="63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63"/>
      <c r="K669" s="63"/>
      <c r="L669" s="63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63"/>
      <c r="K670" s="63"/>
      <c r="L670" s="63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63"/>
      <c r="K671" s="63"/>
      <c r="L671" s="63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63"/>
      <c r="K672" s="63"/>
      <c r="L672" s="63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63"/>
      <c r="K673" s="63"/>
      <c r="L673" s="63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63"/>
      <c r="K674" s="63"/>
      <c r="L674" s="63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63"/>
      <c r="K675" s="63"/>
      <c r="L675" s="63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63"/>
      <c r="K676" s="63"/>
      <c r="L676" s="63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63"/>
      <c r="K677" s="63"/>
      <c r="L677" s="63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63"/>
      <c r="K678" s="63"/>
      <c r="L678" s="63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63"/>
      <c r="K679" s="63"/>
      <c r="L679" s="63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63"/>
      <c r="K680" s="63"/>
      <c r="L680" s="63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63"/>
      <c r="K681" s="63"/>
      <c r="L681" s="63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63"/>
      <c r="K682" s="63"/>
      <c r="L682" s="63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63"/>
      <c r="K683" s="63"/>
      <c r="L683" s="63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63"/>
      <c r="K684" s="63"/>
      <c r="L684" s="63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63"/>
      <c r="K685" s="63"/>
      <c r="L685" s="63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63"/>
      <c r="K686" s="63"/>
      <c r="L686" s="63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63"/>
      <c r="K687" s="63"/>
      <c r="L687" s="63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63"/>
      <c r="K688" s="63"/>
      <c r="L688" s="63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63"/>
      <c r="K689" s="63"/>
      <c r="L689" s="63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63"/>
      <c r="K690" s="63"/>
      <c r="L690" s="63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63"/>
      <c r="K691" s="63"/>
      <c r="L691" s="63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63"/>
      <c r="K692" s="63"/>
      <c r="L692" s="63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63"/>
      <c r="K693" s="63"/>
      <c r="L693" s="63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63"/>
      <c r="K694" s="63"/>
      <c r="L694" s="63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63"/>
      <c r="K695" s="63"/>
      <c r="L695" s="63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63"/>
      <c r="K696" s="63"/>
      <c r="L696" s="63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63"/>
      <c r="K697" s="63"/>
      <c r="L697" s="63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63"/>
      <c r="K698" s="63"/>
      <c r="L698" s="63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63"/>
      <c r="K699" s="63"/>
      <c r="L699" s="63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63"/>
      <c r="K700" s="63"/>
      <c r="L700" s="63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63"/>
      <c r="K701" s="63"/>
      <c r="L701" s="63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63"/>
      <c r="K702" s="63"/>
      <c r="L702" s="63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63"/>
      <c r="K703" s="63"/>
      <c r="L703" s="63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63"/>
      <c r="K704" s="63"/>
      <c r="L704" s="63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63"/>
      <c r="K705" s="63"/>
      <c r="L705" s="63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63"/>
      <c r="K706" s="63"/>
      <c r="L706" s="63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63"/>
      <c r="K707" s="63"/>
      <c r="L707" s="63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63"/>
      <c r="K708" s="63"/>
      <c r="L708" s="63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63"/>
      <c r="K709" s="63"/>
      <c r="L709" s="63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63"/>
      <c r="K710" s="63"/>
      <c r="L710" s="63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63"/>
      <c r="K711" s="63"/>
      <c r="L711" s="63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63"/>
      <c r="K712" s="63"/>
      <c r="L712" s="63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63"/>
      <c r="K713" s="63"/>
      <c r="L713" s="63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63"/>
      <c r="K714" s="63"/>
      <c r="L714" s="63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63"/>
      <c r="K715" s="63"/>
      <c r="L715" s="63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63"/>
      <c r="K716" s="63"/>
      <c r="L716" s="63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63"/>
      <c r="K717" s="63"/>
      <c r="L717" s="63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63"/>
      <c r="K718" s="63"/>
      <c r="L718" s="63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63"/>
      <c r="K719" s="63"/>
      <c r="L719" s="63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63"/>
      <c r="K720" s="63"/>
      <c r="L720" s="63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63"/>
      <c r="K721" s="63"/>
      <c r="L721" s="63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63"/>
      <c r="K722" s="63"/>
      <c r="L722" s="63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63"/>
      <c r="K723" s="63"/>
      <c r="L723" s="63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63"/>
      <c r="K724" s="63"/>
      <c r="L724" s="63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63"/>
      <c r="K725" s="63"/>
      <c r="L725" s="63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63"/>
      <c r="K726" s="63"/>
      <c r="L726" s="63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63"/>
      <c r="K727" s="63"/>
      <c r="L727" s="63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63"/>
      <c r="K728" s="63"/>
      <c r="L728" s="63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63"/>
      <c r="K729" s="63"/>
      <c r="L729" s="63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63"/>
      <c r="K730" s="63"/>
      <c r="L730" s="63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63"/>
      <c r="K731" s="63"/>
      <c r="L731" s="63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63"/>
      <c r="K732" s="63"/>
      <c r="L732" s="63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63"/>
      <c r="K733" s="63"/>
      <c r="L733" s="63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63"/>
      <c r="K734" s="63"/>
      <c r="L734" s="63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63"/>
      <c r="K735" s="63"/>
      <c r="L735" s="63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63"/>
      <c r="K736" s="63"/>
      <c r="L736" s="63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63"/>
      <c r="K737" s="63"/>
      <c r="L737" s="63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63"/>
      <c r="K738" s="63"/>
      <c r="L738" s="63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63"/>
      <c r="K739" s="63"/>
      <c r="L739" s="63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63"/>
      <c r="K740" s="63"/>
      <c r="L740" s="63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63"/>
      <c r="K741" s="63"/>
      <c r="L741" s="63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63"/>
      <c r="K742" s="63"/>
      <c r="L742" s="63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63"/>
      <c r="K743" s="63"/>
      <c r="L743" s="63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63"/>
      <c r="K744" s="63"/>
      <c r="L744" s="63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63"/>
      <c r="K745" s="63"/>
      <c r="L745" s="63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63"/>
      <c r="K746" s="63"/>
      <c r="L746" s="63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63"/>
      <c r="K747" s="63"/>
      <c r="L747" s="63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63"/>
      <c r="K748" s="63"/>
      <c r="L748" s="63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63"/>
      <c r="K749" s="63"/>
      <c r="L749" s="63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63"/>
      <c r="K750" s="63"/>
      <c r="L750" s="63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63"/>
      <c r="K751" s="63"/>
      <c r="L751" s="63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63"/>
      <c r="K752" s="63"/>
      <c r="L752" s="63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63"/>
      <c r="K753" s="63"/>
      <c r="L753" s="63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63"/>
      <c r="K754" s="63"/>
      <c r="L754" s="63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63"/>
      <c r="K755" s="63"/>
      <c r="L755" s="63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63"/>
      <c r="K756" s="63"/>
      <c r="L756" s="63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63"/>
      <c r="K757" s="63"/>
      <c r="L757" s="63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63"/>
      <c r="K758" s="63"/>
      <c r="L758" s="63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63"/>
      <c r="K759" s="63"/>
      <c r="L759" s="63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63"/>
      <c r="K760" s="63"/>
      <c r="L760" s="63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63"/>
      <c r="K761" s="63"/>
      <c r="L761" s="63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63"/>
      <c r="K762" s="63"/>
      <c r="L762" s="63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63"/>
      <c r="K763" s="63"/>
      <c r="L763" s="63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63"/>
      <c r="K764" s="63"/>
      <c r="L764" s="63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63"/>
      <c r="K765" s="63"/>
      <c r="L765" s="63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63"/>
      <c r="K766" s="63"/>
      <c r="L766" s="63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63"/>
      <c r="K767" s="63"/>
      <c r="L767" s="63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63"/>
      <c r="K768" s="63"/>
      <c r="L768" s="63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63"/>
      <c r="K769" s="63"/>
      <c r="L769" s="63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63"/>
      <c r="K770" s="63"/>
      <c r="L770" s="63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63"/>
      <c r="K771" s="63"/>
      <c r="L771" s="63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63"/>
      <c r="K772" s="63"/>
      <c r="L772" s="63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63"/>
      <c r="K773" s="63"/>
      <c r="L773" s="63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63"/>
      <c r="K774" s="63"/>
      <c r="L774" s="63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63"/>
      <c r="K775" s="63"/>
      <c r="L775" s="63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63"/>
      <c r="K776" s="63"/>
      <c r="L776" s="63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63"/>
      <c r="K777" s="63"/>
      <c r="L777" s="63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63"/>
      <c r="K778" s="63"/>
      <c r="L778" s="63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63"/>
      <c r="K779" s="63"/>
      <c r="L779" s="63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63"/>
      <c r="K780" s="63"/>
      <c r="L780" s="63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63"/>
      <c r="K781" s="63"/>
      <c r="L781" s="63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63"/>
      <c r="K782" s="63"/>
      <c r="L782" s="63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63"/>
      <c r="K783" s="63"/>
      <c r="L783" s="63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63"/>
      <c r="K784" s="63"/>
      <c r="L784" s="63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63"/>
      <c r="K785" s="63"/>
      <c r="L785" s="63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63"/>
      <c r="K786" s="63"/>
      <c r="L786" s="63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63"/>
      <c r="K787" s="63"/>
      <c r="L787" s="63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63"/>
      <c r="K788" s="63"/>
      <c r="L788" s="63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63"/>
      <c r="K789" s="63"/>
      <c r="L789" s="63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63"/>
      <c r="K790" s="63"/>
      <c r="L790" s="63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63"/>
      <c r="K791" s="63"/>
      <c r="L791" s="63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63"/>
      <c r="K792" s="63"/>
      <c r="L792" s="63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63"/>
      <c r="K793" s="63"/>
      <c r="L793" s="63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63"/>
      <c r="K794" s="63"/>
      <c r="L794" s="63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63"/>
      <c r="K795" s="63"/>
      <c r="L795" s="63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63"/>
      <c r="K796" s="63"/>
      <c r="L796" s="63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63"/>
      <c r="K797" s="63"/>
      <c r="L797" s="63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63"/>
      <c r="K798" s="63"/>
      <c r="L798" s="63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63"/>
      <c r="K799" s="63"/>
      <c r="L799" s="63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63"/>
      <c r="K800" s="63"/>
      <c r="L800" s="63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63"/>
      <c r="K801" s="63"/>
      <c r="L801" s="63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63"/>
      <c r="K802" s="63"/>
      <c r="L802" s="63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63"/>
      <c r="K803" s="63"/>
      <c r="L803" s="63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63"/>
      <c r="K804" s="63"/>
      <c r="L804" s="63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63"/>
      <c r="K805" s="63"/>
      <c r="L805" s="63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63"/>
      <c r="K806" s="63"/>
      <c r="L806" s="63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63"/>
      <c r="K807" s="63"/>
      <c r="L807" s="63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63"/>
      <c r="K808" s="63"/>
      <c r="L808" s="63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63"/>
      <c r="K809" s="63"/>
      <c r="L809" s="63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63"/>
      <c r="K810" s="63"/>
      <c r="L810" s="63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63"/>
      <c r="K811" s="63"/>
      <c r="L811" s="63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63"/>
      <c r="K812" s="63"/>
      <c r="L812" s="63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63"/>
      <c r="K813" s="63"/>
      <c r="L813" s="63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63"/>
      <c r="K814" s="63"/>
      <c r="L814" s="63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63"/>
      <c r="K815" s="63"/>
      <c r="L815" s="63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63"/>
      <c r="K816" s="63"/>
      <c r="L816" s="63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63"/>
      <c r="K817" s="63"/>
      <c r="L817" s="63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63"/>
      <c r="K818" s="63"/>
      <c r="L818" s="63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63"/>
      <c r="K819" s="63"/>
      <c r="L819" s="63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63"/>
      <c r="K820" s="63"/>
      <c r="L820" s="63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63"/>
      <c r="K821" s="63"/>
      <c r="L821" s="63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63"/>
      <c r="K822" s="63"/>
      <c r="L822" s="63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63"/>
      <c r="K823" s="63"/>
      <c r="L823" s="63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63"/>
      <c r="K824" s="63"/>
      <c r="L824" s="63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63"/>
      <c r="K825" s="63"/>
      <c r="L825" s="63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63"/>
      <c r="K826" s="63"/>
      <c r="L826" s="63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63"/>
      <c r="K827" s="63"/>
      <c r="L827" s="63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63"/>
      <c r="K828" s="63"/>
      <c r="L828" s="63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63"/>
      <c r="K829" s="63"/>
      <c r="L829" s="63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63"/>
      <c r="K830" s="63"/>
      <c r="L830" s="63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63"/>
      <c r="K831" s="63"/>
      <c r="L831" s="63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63"/>
      <c r="K832" s="63"/>
      <c r="L832" s="63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63"/>
      <c r="K833" s="63"/>
      <c r="L833" s="63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63"/>
      <c r="K834" s="63"/>
      <c r="L834" s="63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63"/>
      <c r="K835" s="63"/>
      <c r="L835" s="63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63"/>
      <c r="K836" s="63"/>
      <c r="L836" s="63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63"/>
      <c r="K837" s="63"/>
      <c r="L837" s="63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63"/>
      <c r="K838" s="63"/>
      <c r="L838" s="63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63"/>
      <c r="K839" s="63"/>
      <c r="L839" s="63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63"/>
      <c r="K840" s="63"/>
      <c r="L840" s="63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63"/>
      <c r="K841" s="63"/>
      <c r="L841" s="63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63"/>
      <c r="K842" s="63"/>
      <c r="L842" s="63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63"/>
      <c r="K843" s="63"/>
      <c r="L843" s="63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63"/>
      <c r="K844" s="63"/>
      <c r="L844" s="63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63"/>
      <c r="K845" s="63"/>
      <c r="L845" s="63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63"/>
      <c r="K846" s="63"/>
      <c r="L846" s="63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63"/>
      <c r="K847" s="63"/>
      <c r="L847" s="63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63"/>
      <c r="K848" s="63"/>
      <c r="L848" s="63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63"/>
      <c r="K849" s="63"/>
      <c r="L849" s="63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63"/>
      <c r="K850" s="63"/>
      <c r="L850" s="63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63"/>
      <c r="K851" s="63"/>
      <c r="L851" s="63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63"/>
      <c r="K852" s="63"/>
      <c r="L852" s="63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63"/>
      <c r="K853" s="63"/>
      <c r="L853" s="63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63"/>
      <c r="K854" s="63"/>
      <c r="L854" s="63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63"/>
      <c r="K855" s="63"/>
      <c r="L855" s="63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63"/>
      <c r="K856" s="63"/>
      <c r="L856" s="63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63"/>
      <c r="K857" s="63"/>
      <c r="L857" s="63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63"/>
      <c r="K858" s="63"/>
      <c r="L858" s="63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63"/>
      <c r="K859" s="63"/>
      <c r="L859" s="63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63"/>
      <c r="K860" s="63"/>
      <c r="L860" s="63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63"/>
      <c r="K861" s="63"/>
      <c r="L861" s="63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63"/>
      <c r="K862" s="63"/>
      <c r="L862" s="63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63"/>
      <c r="K863" s="63"/>
      <c r="L863" s="63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63"/>
      <c r="K864" s="63"/>
      <c r="L864" s="63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63"/>
      <c r="K865" s="63"/>
      <c r="L865" s="63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63"/>
      <c r="K866" s="63"/>
      <c r="L866" s="63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63"/>
      <c r="K867" s="63"/>
      <c r="L867" s="63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63"/>
      <c r="K868" s="63"/>
      <c r="L868" s="63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63"/>
      <c r="K869" s="63"/>
      <c r="L869" s="63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63"/>
      <c r="K870" s="63"/>
      <c r="L870" s="63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63"/>
      <c r="K871" s="63"/>
      <c r="L871" s="63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63"/>
      <c r="K872" s="63"/>
      <c r="L872" s="63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63"/>
      <c r="K873" s="63"/>
      <c r="L873" s="63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63"/>
      <c r="K874" s="63"/>
      <c r="L874" s="63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63"/>
      <c r="K875" s="63"/>
      <c r="L875" s="63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63"/>
      <c r="K876" s="63"/>
      <c r="L876" s="63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63"/>
      <c r="K877" s="63"/>
      <c r="L877" s="63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63"/>
      <c r="K878" s="63"/>
      <c r="L878" s="63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63"/>
      <c r="K879" s="63"/>
      <c r="L879" s="63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63"/>
      <c r="K880" s="63"/>
      <c r="L880" s="63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63"/>
      <c r="K881" s="63"/>
      <c r="L881" s="63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63"/>
      <c r="K882" s="63"/>
      <c r="L882" s="63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63"/>
      <c r="K883" s="63"/>
      <c r="L883" s="63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63"/>
      <c r="K884" s="63"/>
      <c r="L884" s="63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63"/>
      <c r="K885" s="63"/>
      <c r="L885" s="63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63"/>
      <c r="K886" s="63"/>
      <c r="L886" s="63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63"/>
      <c r="K887" s="63"/>
      <c r="L887" s="63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63"/>
      <c r="K888" s="63"/>
      <c r="L888" s="63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63"/>
      <c r="K889" s="63"/>
      <c r="L889" s="63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63"/>
      <c r="K890" s="63"/>
      <c r="L890" s="63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63"/>
      <c r="K891" s="63"/>
      <c r="L891" s="63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63"/>
      <c r="K892" s="63"/>
      <c r="L892" s="63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63"/>
      <c r="K893" s="63"/>
      <c r="L893" s="63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63"/>
      <c r="K894" s="63"/>
      <c r="L894" s="63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63"/>
      <c r="K895" s="63"/>
      <c r="L895" s="63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63"/>
      <c r="K896" s="63"/>
      <c r="L896" s="63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63"/>
      <c r="K897" s="63"/>
      <c r="L897" s="63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63"/>
      <c r="K898" s="63"/>
      <c r="L898" s="63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63"/>
      <c r="K899" s="63"/>
      <c r="L899" s="63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63"/>
      <c r="K900" s="63"/>
      <c r="L900" s="63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63"/>
      <c r="K901" s="63"/>
      <c r="L901" s="63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63"/>
      <c r="K902" s="63"/>
      <c r="L902" s="63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63"/>
      <c r="K903" s="63"/>
      <c r="L903" s="63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63"/>
      <c r="K904" s="63"/>
      <c r="L904" s="63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63"/>
      <c r="K905" s="63"/>
      <c r="L905" s="63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63"/>
      <c r="K906" s="63"/>
      <c r="L906" s="63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63"/>
      <c r="K907" s="63"/>
      <c r="L907" s="63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63"/>
      <c r="K908" s="63"/>
      <c r="L908" s="63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63"/>
      <c r="K909" s="63"/>
      <c r="L909" s="63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63"/>
      <c r="K910" s="63"/>
      <c r="L910" s="63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63"/>
      <c r="K911" s="63"/>
      <c r="L911" s="63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63"/>
      <c r="K912" s="63"/>
      <c r="L912" s="63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63"/>
      <c r="K913" s="63"/>
      <c r="L913" s="63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63"/>
      <c r="K914" s="63"/>
      <c r="L914" s="63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63"/>
      <c r="K915" s="63"/>
      <c r="L915" s="63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63"/>
      <c r="K916" s="63"/>
      <c r="L916" s="63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63"/>
      <c r="K917" s="63"/>
      <c r="L917" s="63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63"/>
      <c r="K918" s="63"/>
      <c r="L918" s="63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63"/>
      <c r="K919" s="63"/>
      <c r="L919" s="63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63"/>
      <c r="K920" s="63"/>
      <c r="L920" s="63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63"/>
      <c r="K921" s="63"/>
      <c r="L921" s="63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63"/>
      <c r="K922" s="63"/>
      <c r="L922" s="63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63"/>
      <c r="K923" s="63"/>
      <c r="L923" s="63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63"/>
      <c r="K924" s="63"/>
      <c r="L924" s="63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63"/>
      <c r="K925" s="63"/>
      <c r="L925" s="63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63"/>
      <c r="K926" s="63"/>
      <c r="L926" s="63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63"/>
      <c r="K927" s="63"/>
      <c r="L927" s="63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63"/>
      <c r="K928" s="63"/>
      <c r="L928" s="63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63"/>
      <c r="K929" s="63"/>
      <c r="L929" s="63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63"/>
      <c r="K930" s="63"/>
      <c r="L930" s="63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63"/>
      <c r="K931" s="63"/>
      <c r="L931" s="63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63"/>
      <c r="K932" s="63"/>
      <c r="L932" s="63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63"/>
      <c r="K933" s="63"/>
      <c r="L933" s="63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63"/>
      <c r="K934" s="63"/>
      <c r="L934" s="63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63"/>
      <c r="K935" s="63"/>
      <c r="L935" s="63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63"/>
      <c r="K936" s="63"/>
      <c r="L936" s="63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63"/>
      <c r="K937" s="63"/>
      <c r="L937" s="63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63"/>
      <c r="K938" s="63"/>
      <c r="L938" s="63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63"/>
      <c r="K939" s="63"/>
      <c r="L939" s="63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63"/>
      <c r="K940" s="63"/>
      <c r="L940" s="63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63"/>
      <c r="K941" s="63"/>
      <c r="L941" s="63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63"/>
      <c r="K942" s="63"/>
      <c r="L942" s="63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63"/>
      <c r="K943" s="63"/>
      <c r="L943" s="63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63"/>
      <c r="K944" s="63"/>
      <c r="L944" s="63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63"/>
      <c r="K945" s="63"/>
      <c r="L945" s="63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63"/>
      <c r="K946" s="63"/>
      <c r="L946" s="63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63"/>
      <c r="K947" s="63"/>
      <c r="L947" s="63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63"/>
      <c r="K948" s="63"/>
      <c r="L948" s="63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63"/>
      <c r="K949" s="63"/>
      <c r="L949" s="63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63"/>
      <c r="K950" s="63"/>
      <c r="L950" s="63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63"/>
      <c r="K951" s="63"/>
      <c r="L951" s="63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63"/>
      <c r="K952" s="63"/>
      <c r="L952" s="63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63"/>
      <c r="K953" s="63"/>
      <c r="L953" s="63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63"/>
      <c r="K954" s="63"/>
      <c r="L954" s="63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63"/>
      <c r="K955" s="63"/>
      <c r="L955" s="63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63"/>
      <c r="K956" s="63"/>
      <c r="L956" s="63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63"/>
      <c r="K957" s="63"/>
      <c r="L957" s="63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63"/>
      <c r="K958" s="63"/>
      <c r="L958" s="63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63"/>
      <c r="K959" s="63"/>
      <c r="L959" s="63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63"/>
      <c r="K960" s="63"/>
      <c r="L960" s="63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63"/>
      <c r="K961" s="63"/>
      <c r="L961" s="63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63"/>
      <c r="K962" s="63"/>
      <c r="L962" s="63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63"/>
      <c r="K963" s="63"/>
      <c r="L963" s="63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63"/>
      <c r="K964" s="63"/>
      <c r="L964" s="63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63"/>
      <c r="K965" s="63"/>
      <c r="L965" s="63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63"/>
      <c r="K966" s="63"/>
      <c r="L966" s="63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63"/>
      <c r="K967" s="63"/>
      <c r="L967" s="63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63"/>
      <c r="K968" s="63"/>
      <c r="L968" s="63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63"/>
      <c r="K969" s="63"/>
      <c r="L969" s="63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63"/>
      <c r="K970" s="63"/>
      <c r="L970" s="63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63"/>
      <c r="K971" s="63"/>
      <c r="L971" s="63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63"/>
      <c r="K972" s="63"/>
      <c r="L972" s="63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63"/>
      <c r="K973" s="63"/>
      <c r="L973" s="63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63"/>
      <c r="K974" s="63"/>
      <c r="L974" s="63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63"/>
      <c r="K975" s="63"/>
      <c r="L975" s="63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63"/>
      <c r="K976" s="63"/>
      <c r="L976" s="63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63"/>
      <c r="K977" s="63"/>
      <c r="L977" s="63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63"/>
      <c r="K978" s="63"/>
      <c r="L978" s="63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63"/>
      <c r="K979" s="63"/>
      <c r="L979" s="63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63"/>
      <c r="K980" s="63"/>
      <c r="L980" s="63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63"/>
      <c r="K981" s="63"/>
      <c r="L981" s="63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63"/>
      <c r="K982" s="63"/>
      <c r="L982" s="63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63"/>
      <c r="K983" s="63"/>
      <c r="L983" s="63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63"/>
      <c r="K984" s="63"/>
      <c r="L984" s="63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63"/>
      <c r="K985" s="63"/>
      <c r="L985" s="63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63"/>
      <c r="K986" s="63"/>
      <c r="L986" s="63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63"/>
      <c r="K987" s="63"/>
      <c r="L987" s="63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63"/>
      <c r="K988" s="63"/>
      <c r="L988" s="63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63"/>
      <c r="K989" s="63"/>
      <c r="L989" s="63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63"/>
      <c r="K990" s="63"/>
      <c r="L990" s="63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63"/>
      <c r="K991" s="63"/>
      <c r="L991" s="63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63"/>
      <c r="K992" s="63"/>
      <c r="L992" s="63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63"/>
      <c r="K993" s="63"/>
      <c r="L993" s="63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63"/>
      <c r="K994" s="63"/>
      <c r="L994" s="63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63"/>
      <c r="K995" s="63"/>
      <c r="L995" s="63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63"/>
      <c r="K996" s="63"/>
      <c r="L996" s="63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63"/>
      <c r="K997" s="63"/>
      <c r="L997" s="63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63"/>
      <c r="K998" s="63"/>
      <c r="L998" s="63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63"/>
      <c r="K999" s="63"/>
      <c r="L999" s="63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63"/>
      <c r="K1000" s="63"/>
      <c r="L1000" s="63"/>
      <c r="M1000" s="3"/>
      <c r="N1000" s="3"/>
      <c r="O1000" s="3"/>
      <c r="Q1000" s="4"/>
      <c r="R1000" s="5"/>
      <c r="S1000" s="5"/>
    </row>
  </sheetData>
  <sheetProtection password="CC27" sheet="1" objects="1" scenarios="1"/>
  <mergeCells count="6">
    <mergeCell ref="D29:K29"/>
    <mergeCell ref="B3:S3"/>
    <mergeCell ref="M4:O4"/>
    <mergeCell ref="Q4:S4"/>
    <mergeCell ref="J5:L5"/>
    <mergeCell ref="D27:K27"/>
  </mergeCells>
  <pageMargins left="0.511811024" right="0.511811024" top="0.78740157499999996" bottom="0.7874015749999999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selection activeCell="E33" sqref="E33"/>
    </sheetView>
  </sheetViews>
  <sheetFormatPr defaultColWidth="14.42578125" defaultRowHeight="15" customHeight="1"/>
  <cols>
    <col min="1" max="1" width="2.7109375" customWidth="1"/>
    <col min="2" max="2" width="7.42578125" customWidth="1"/>
    <col min="3" max="3" width="22.7109375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38.85546875" customWidth="1"/>
    <col min="9" max="9" width="25.5703125" customWidth="1"/>
    <col min="10" max="12" width="9.140625" customWidth="1"/>
    <col min="13" max="13" width="16.42578125" customWidth="1"/>
    <col min="14" max="14" width="14.42578125" customWidth="1"/>
    <col min="15" max="15" width="13" customWidth="1"/>
    <col min="16" max="16" width="13.5703125" customWidth="1"/>
    <col min="17" max="17" width="16.28515625" customWidth="1"/>
    <col min="18" max="18" width="14.85546875" customWidth="1"/>
    <col min="19" max="19" width="18" customWidth="1"/>
    <col min="20" max="37" width="8.7109375" customWidth="1"/>
  </cols>
  <sheetData>
    <row r="1" spans="1:37" ht="18">
      <c r="A1" s="64"/>
      <c r="B1" s="312" t="s">
        <v>333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2.25" customHeight="1">
      <c r="A2" s="64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  <c r="M2" s="314" t="s">
        <v>1</v>
      </c>
      <c r="N2" s="308"/>
      <c r="O2" s="309"/>
      <c r="P2" s="65" t="s">
        <v>34</v>
      </c>
      <c r="Q2" s="315" t="s">
        <v>35</v>
      </c>
      <c r="R2" s="308"/>
      <c r="S2" s="309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5.5">
      <c r="B3" s="66" t="s">
        <v>36</v>
      </c>
      <c r="C3" s="171" t="s">
        <v>37</v>
      </c>
      <c r="D3" s="188" t="s">
        <v>38</v>
      </c>
      <c r="E3" s="66" t="s">
        <v>39</v>
      </c>
      <c r="F3" s="66" t="s">
        <v>40</v>
      </c>
      <c r="G3" s="138" t="s">
        <v>41</v>
      </c>
      <c r="H3" s="66" t="s">
        <v>42</v>
      </c>
      <c r="I3" s="66" t="s">
        <v>43</v>
      </c>
      <c r="J3" s="320" t="s">
        <v>44</v>
      </c>
      <c r="K3" s="308"/>
      <c r="L3" s="309"/>
      <c r="M3" s="140" t="s">
        <v>5</v>
      </c>
      <c r="N3" s="141" t="s">
        <v>6</v>
      </c>
      <c r="O3" s="142" t="s">
        <v>7</v>
      </c>
      <c r="P3" s="142" t="s">
        <v>5</v>
      </c>
      <c r="Q3" s="143" t="s">
        <v>9</v>
      </c>
      <c r="R3" s="144" t="s">
        <v>10</v>
      </c>
      <c r="S3" s="145" t="s">
        <v>46</v>
      </c>
    </row>
    <row r="4" spans="1:37">
      <c r="A4" s="21"/>
      <c r="B4" s="75">
        <v>1</v>
      </c>
      <c r="C4" s="195" t="s">
        <v>334</v>
      </c>
      <c r="D4" s="196" t="s">
        <v>335</v>
      </c>
      <c r="E4" s="89" t="s">
        <v>945</v>
      </c>
      <c r="F4" s="102" t="s">
        <v>336</v>
      </c>
      <c r="G4" s="158" t="s">
        <v>337</v>
      </c>
      <c r="H4" s="82" t="str">
        <f t="shared" ref="H4:H32" si="0">UPPER(G4)</f>
        <v>PARTICIPAÇÃO HOSPITAL SUMMIT 2019</v>
      </c>
      <c r="I4" s="93" t="s">
        <v>316</v>
      </c>
      <c r="J4" s="197">
        <v>43586</v>
      </c>
      <c r="K4" s="180">
        <v>21</v>
      </c>
      <c r="L4" s="180">
        <v>22</v>
      </c>
      <c r="M4" s="279">
        <v>172.2</v>
      </c>
      <c r="N4" s="279">
        <v>235</v>
      </c>
      <c r="O4" s="274"/>
      <c r="P4" s="280">
        <v>0</v>
      </c>
      <c r="Q4" s="281">
        <v>481.83</v>
      </c>
      <c r="R4" s="282">
        <v>288.75</v>
      </c>
      <c r="S4" s="294">
        <f t="shared" ref="S4:S32" si="1">M4+N4+O4+P4+Q4+R4</f>
        <v>1177.78</v>
      </c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>
      <c r="A5" s="21"/>
      <c r="B5" s="86">
        <v>2</v>
      </c>
      <c r="C5" s="195" t="s">
        <v>338</v>
      </c>
      <c r="D5" s="196" t="s">
        <v>339</v>
      </c>
      <c r="E5" s="89" t="s">
        <v>946</v>
      </c>
      <c r="F5" s="102" t="s">
        <v>340</v>
      </c>
      <c r="G5" s="198" t="s">
        <v>341</v>
      </c>
      <c r="H5" s="93" t="str">
        <f t="shared" si="0"/>
        <v>HEALTH COSTS SUMMIT</v>
      </c>
      <c r="I5" s="93" t="s">
        <v>316</v>
      </c>
      <c r="J5" s="197">
        <v>43586</v>
      </c>
      <c r="K5" s="180">
        <v>28</v>
      </c>
      <c r="L5" s="180">
        <v>30</v>
      </c>
      <c r="M5" s="279">
        <v>210.09</v>
      </c>
      <c r="N5" s="279"/>
      <c r="O5" s="279"/>
      <c r="P5" s="295">
        <v>0</v>
      </c>
      <c r="Q5" s="281">
        <v>651.83000000000004</v>
      </c>
      <c r="R5" s="282">
        <v>688.8</v>
      </c>
      <c r="S5" s="283">
        <f t="shared" si="1"/>
        <v>1550.72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13.5" customHeight="1">
      <c r="A6" s="21"/>
      <c r="B6" s="86">
        <v>3</v>
      </c>
      <c r="C6" s="195" t="s">
        <v>342</v>
      </c>
      <c r="D6" s="196" t="s">
        <v>343</v>
      </c>
      <c r="E6" s="89" t="s">
        <v>947</v>
      </c>
      <c r="F6" s="102" t="s">
        <v>344</v>
      </c>
      <c r="G6" s="102" t="s">
        <v>345</v>
      </c>
      <c r="H6" s="93" t="str">
        <f t="shared" si="0"/>
        <v>PARTICIPAÇÃO NO 50º FONAITEC</v>
      </c>
      <c r="I6" s="93" t="s">
        <v>72</v>
      </c>
      <c r="J6" s="94">
        <v>43586</v>
      </c>
      <c r="K6" s="180">
        <v>13</v>
      </c>
      <c r="L6" s="180">
        <v>17</v>
      </c>
      <c r="M6" s="279"/>
      <c r="N6" s="279">
        <v>106.28</v>
      </c>
      <c r="O6" s="279"/>
      <c r="P6" s="295">
        <f>22+51+27</f>
        <v>100</v>
      </c>
      <c r="Q6" s="281">
        <v>1048.3699999999999</v>
      </c>
      <c r="R6" s="282">
        <f>1607.76+432.08</f>
        <v>2039.84</v>
      </c>
      <c r="S6" s="283">
        <f t="shared" si="1"/>
        <v>3294.49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>
      <c r="A7" s="21"/>
      <c r="B7" s="86">
        <v>4</v>
      </c>
      <c r="C7" s="195" t="s">
        <v>342</v>
      </c>
      <c r="D7" s="196" t="s">
        <v>346</v>
      </c>
      <c r="E7" s="89" t="s">
        <v>948</v>
      </c>
      <c r="F7" s="102" t="s">
        <v>347</v>
      </c>
      <c r="G7" s="102" t="s">
        <v>345</v>
      </c>
      <c r="H7" s="93" t="str">
        <f t="shared" si="0"/>
        <v>PARTICIPAÇÃO NO 50º FONAITEC</v>
      </c>
      <c r="I7" s="93" t="s">
        <v>72</v>
      </c>
      <c r="J7" s="94">
        <v>43586</v>
      </c>
      <c r="K7" s="180">
        <v>13</v>
      </c>
      <c r="L7" s="180">
        <v>17</v>
      </c>
      <c r="M7" s="279"/>
      <c r="N7" s="279">
        <v>115.08</v>
      </c>
      <c r="O7" s="279"/>
      <c r="P7" s="295">
        <f>32.22+46+40</f>
        <v>118.22</v>
      </c>
      <c r="Q7" s="281">
        <v>1048.3699999999999</v>
      </c>
      <c r="R7" s="282">
        <f>1607.76+424.38</f>
        <v>2032.1399999999999</v>
      </c>
      <c r="S7" s="283">
        <f t="shared" si="1"/>
        <v>3313.8099999999995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13.5" customHeight="1">
      <c r="A8" s="21"/>
      <c r="B8" s="86">
        <v>5</v>
      </c>
      <c r="C8" s="195" t="s">
        <v>348</v>
      </c>
      <c r="D8" s="177" t="s">
        <v>284</v>
      </c>
      <c r="E8" s="189" t="s">
        <v>949</v>
      </c>
      <c r="F8" s="92" t="s">
        <v>285</v>
      </c>
      <c r="G8" s="102" t="s">
        <v>349</v>
      </c>
      <c r="H8" s="93" t="str">
        <f t="shared" si="0"/>
        <v>TREINAMENTO AGHUSE - MÓDULOS EXAMES </v>
      </c>
      <c r="I8" s="93" t="s">
        <v>72</v>
      </c>
      <c r="J8" s="94">
        <v>43586</v>
      </c>
      <c r="K8" s="180">
        <v>5</v>
      </c>
      <c r="L8" s="180">
        <v>10</v>
      </c>
      <c r="M8" s="279">
        <v>0</v>
      </c>
      <c r="N8" s="279">
        <v>136.71</v>
      </c>
      <c r="O8" s="279"/>
      <c r="P8" s="280">
        <f>93.84+37.14+35.69+43+36+43+38.59+43.52+36.27+41.5+46.42+86.82</f>
        <v>581.79</v>
      </c>
      <c r="Q8" s="281">
        <v>2748.37</v>
      </c>
      <c r="R8" s="282">
        <f>1489.25+214.17</f>
        <v>1703.42</v>
      </c>
      <c r="S8" s="283">
        <f t="shared" si="1"/>
        <v>5170.29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34.5">
      <c r="A9" s="21"/>
      <c r="B9" s="86">
        <v>6</v>
      </c>
      <c r="C9" s="195" t="s">
        <v>350</v>
      </c>
      <c r="D9" s="177" t="s">
        <v>280</v>
      </c>
      <c r="E9" s="89" t="s">
        <v>928</v>
      </c>
      <c r="F9" s="102" t="s">
        <v>281</v>
      </c>
      <c r="G9" s="102" t="s">
        <v>351</v>
      </c>
      <c r="H9" s="93" t="str">
        <f t="shared" si="0"/>
        <v>TREINAMENTO AGHUSE - MÓDULO EXAMES LABORATORIAIS E IMPLANTAÇÃO AGHUSE - MÓDULO EXAMES IMAGENS</v>
      </c>
      <c r="I9" s="93" t="s">
        <v>72</v>
      </c>
      <c r="J9" s="94">
        <v>43586</v>
      </c>
      <c r="K9" s="180">
        <v>6</v>
      </c>
      <c r="L9" s="180">
        <v>10</v>
      </c>
      <c r="M9" s="279">
        <v>0</v>
      </c>
      <c r="N9" s="279">
        <v>63.15</v>
      </c>
      <c r="O9" s="279"/>
      <c r="P9" s="280">
        <f>33.5+28.5+35+40+32.2+38+36+32+37</f>
        <v>312.2</v>
      </c>
      <c r="Q9" s="281">
        <f>1679.98+1404.39</f>
        <v>3084.37</v>
      </c>
      <c r="R9" s="282">
        <f>1191.4+183.68</f>
        <v>1375.0800000000002</v>
      </c>
      <c r="S9" s="283">
        <f t="shared" si="1"/>
        <v>4834.8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34.5" customHeight="1">
      <c r="A10" s="21"/>
      <c r="B10" s="86">
        <v>7</v>
      </c>
      <c r="C10" s="195" t="s">
        <v>352</v>
      </c>
      <c r="D10" s="177" t="s">
        <v>353</v>
      </c>
      <c r="E10" s="89" t="s">
        <v>950</v>
      </c>
      <c r="F10" s="92" t="s">
        <v>108</v>
      </c>
      <c r="G10" s="102" t="s">
        <v>351</v>
      </c>
      <c r="H10" s="93" t="str">
        <f t="shared" si="0"/>
        <v>TREINAMENTO AGHUSE - MÓDULO EXAMES LABORATORIAIS E IMPLANTAÇÃO AGHUSE - MÓDULO EXAMES IMAGENS</v>
      </c>
      <c r="I10" s="93" t="s">
        <v>72</v>
      </c>
      <c r="J10" s="94">
        <v>43586</v>
      </c>
      <c r="K10" s="180">
        <v>6</v>
      </c>
      <c r="L10" s="180">
        <v>9</v>
      </c>
      <c r="M10" s="279"/>
      <c r="N10" s="279">
        <v>160.25</v>
      </c>
      <c r="O10" s="279"/>
      <c r="P10" s="280">
        <f>51.5+32+42+32.5+47+74</f>
        <v>279</v>
      </c>
      <c r="Q10" s="281">
        <f>1679.98+972.39</f>
        <v>2652.37</v>
      </c>
      <c r="R10" s="282">
        <f>893.55+195.14</f>
        <v>1088.69</v>
      </c>
      <c r="S10" s="283">
        <f t="shared" si="1"/>
        <v>4180.3099999999995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23.25">
      <c r="A11" s="21"/>
      <c r="B11" s="86">
        <v>8</v>
      </c>
      <c r="C11" s="195" t="s">
        <v>354</v>
      </c>
      <c r="D11" s="177" t="s">
        <v>355</v>
      </c>
      <c r="E11" s="89" t="s">
        <v>951</v>
      </c>
      <c r="F11" s="92" t="s">
        <v>356</v>
      </c>
      <c r="G11" s="102" t="s">
        <v>357</v>
      </c>
      <c r="H11" s="93" t="str">
        <f t="shared" si="0"/>
        <v>MINISTRAR TREINAMENTO AGHUSE , MÓDULO CCIH, HOSPITAL MILITAR ÁREA BRASILIA</v>
      </c>
      <c r="I11" s="93" t="s">
        <v>72</v>
      </c>
      <c r="J11" s="94">
        <v>43586</v>
      </c>
      <c r="K11" s="180">
        <v>20</v>
      </c>
      <c r="L11" s="180">
        <v>23</v>
      </c>
      <c r="M11" s="279">
        <v>19.28</v>
      </c>
      <c r="N11" s="279">
        <v>68.650000000000006</v>
      </c>
      <c r="O11" s="279"/>
      <c r="P11" s="280">
        <f>35.4+35.11+40+16+36.27+42+37+43+41+65+35</f>
        <v>425.78</v>
      </c>
      <c r="Q11" s="281">
        <f>1199.98+707.39</f>
        <v>1907.37</v>
      </c>
      <c r="R11" s="282">
        <f>893.55+305.36</f>
        <v>1198.9099999999999</v>
      </c>
      <c r="S11" s="283">
        <f t="shared" si="1"/>
        <v>3619.99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23.25">
      <c r="A12" s="21"/>
      <c r="B12" s="86">
        <v>9</v>
      </c>
      <c r="C12" s="195" t="s">
        <v>358</v>
      </c>
      <c r="D12" s="177" t="s">
        <v>359</v>
      </c>
      <c r="E12" s="89" t="s">
        <v>952</v>
      </c>
      <c r="F12" s="92" t="s">
        <v>360</v>
      </c>
      <c r="G12" s="158" t="s">
        <v>361</v>
      </c>
      <c r="H12" s="93" t="str">
        <f t="shared" si="0"/>
        <v>PARTICIPAR DO EVENTO: HOSPITAL SUMMIT 2019 - ANAHP</v>
      </c>
      <c r="I12" s="93" t="s">
        <v>330</v>
      </c>
      <c r="J12" s="94">
        <v>43586</v>
      </c>
      <c r="K12" s="180">
        <v>21</v>
      </c>
      <c r="L12" s="180">
        <v>22</v>
      </c>
      <c r="M12" s="279">
        <v>147.87</v>
      </c>
      <c r="N12" s="279">
        <v>193.7</v>
      </c>
      <c r="O12" s="279"/>
      <c r="P12" s="280">
        <v>0</v>
      </c>
      <c r="Q12" s="281">
        <v>0</v>
      </c>
      <c r="R12" s="282">
        <v>0</v>
      </c>
      <c r="S12" s="283">
        <f t="shared" si="1"/>
        <v>341.57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23.25">
      <c r="A13" s="21"/>
      <c r="B13" s="86">
        <v>10</v>
      </c>
      <c r="C13" s="195" t="s">
        <v>362</v>
      </c>
      <c r="D13" s="177" t="s">
        <v>359</v>
      </c>
      <c r="E13" s="89" t="s">
        <v>952</v>
      </c>
      <c r="F13" s="92" t="s">
        <v>360</v>
      </c>
      <c r="G13" s="102" t="s">
        <v>363</v>
      </c>
      <c r="H13" s="93" t="str">
        <f t="shared" si="0"/>
        <v>VISITA TÉCNICA AO NÚCLEO AVANÇADO DE GERIATRIA DO HOSPITAL SÍRIO-LIBANÊS</v>
      </c>
      <c r="I13" s="93" t="s">
        <v>330</v>
      </c>
      <c r="J13" s="94">
        <v>43586</v>
      </c>
      <c r="K13" s="95">
        <v>20</v>
      </c>
      <c r="L13" s="95">
        <v>20</v>
      </c>
      <c r="M13" s="279">
        <v>28.88</v>
      </c>
      <c r="N13" s="279">
        <v>68.67</v>
      </c>
      <c r="O13" s="279"/>
      <c r="P13" s="280">
        <v>23.7</v>
      </c>
      <c r="Q13" s="281">
        <v>0</v>
      </c>
      <c r="R13" s="282">
        <v>0</v>
      </c>
      <c r="S13" s="283">
        <f t="shared" si="1"/>
        <v>121.25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23.25">
      <c r="A14" s="21"/>
      <c r="B14" s="86">
        <v>11</v>
      </c>
      <c r="C14" s="199" t="s">
        <v>364</v>
      </c>
      <c r="D14" s="177" t="s">
        <v>365</v>
      </c>
      <c r="E14" s="89" t="s">
        <v>953</v>
      </c>
      <c r="F14" s="102" t="s">
        <v>366</v>
      </c>
      <c r="G14" s="102" t="s">
        <v>367</v>
      </c>
      <c r="H14" s="93" t="str">
        <f t="shared" si="0"/>
        <v>PARTICIPAÇÃO NA 4ª SEMANA DE OUVIDORIA E ACESSO À INFORMAÇÃO/CGU</v>
      </c>
      <c r="I14" s="93" t="s">
        <v>207</v>
      </c>
      <c r="J14" s="94">
        <v>43586</v>
      </c>
      <c r="K14" s="95">
        <v>12</v>
      </c>
      <c r="L14" s="95">
        <v>16</v>
      </c>
      <c r="M14" s="279">
        <v>0</v>
      </c>
      <c r="N14" s="279">
        <v>0</v>
      </c>
      <c r="O14" s="279"/>
      <c r="P14" s="290">
        <v>0</v>
      </c>
      <c r="Q14" s="281">
        <v>1841.83</v>
      </c>
      <c r="R14" s="282">
        <v>1150</v>
      </c>
      <c r="S14" s="283">
        <f t="shared" si="1"/>
        <v>2991.83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ht="23.25">
      <c r="A15" s="21"/>
      <c r="B15" s="86">
        <v>12</v>
      </c>
      <c r="C15" s="199" t="s">
        <v>364</v>
      </c>
      <c r="D15" s="177" t="s">
        <v>368</v>
      </c>
      <c r="E15" s="89" t="s">
        <v>954</v>
      </c>
      <c r="F15" s="102" t="s">
        <v>369</v>
      </c>
      <c r="G15" s="102" t="s">
        <v>367</v>
      </c>
      <c r="H15" s="93" t="str">
        <f t="shared" si="0"/>
        <v>PARTICIPAÇÃO NA 4ª SEMANA DE OUVIDORIA E ACESSO À INFORMAÇÃO/CGU</v>
      </c>
      <c r="I15" s="93" t="s">
        <v>207</v>
      </c>
      <c r="J15" s="94">
        <v>43586</v>
      </c>
      <c r="K15" s="95">
        <v>12</v>
      </c>
      <c r="L15" s="95">
        <v>16</v>
      </c>
      <c r="M15" s="279">
        <v>0</v>
      </c>
      <c r="N15" s="279">
        <v>0</v>
      </c>
      <c r="O15" s="279"/>
      <c r="P15" s="290">
        <v>0</v>
      </c>
      <c r="Q15" s="281">
        <v>1841.83</v>
      </c>
      <c r="R15" s="282">
        <v>1150</v>
      </c>
      <c r="S15" s="283">
        <f t="shared" si="1"/>
        <v>2991.83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139.5" customHeight="1">
      <c r="A16" s="21"/>
      <c r="B16" s="86">
        <v>13</v>
      </c>
      <c r="C16" s="199" t="s">
        <v>370</v>
      </c>
      <c r="D16" s="177" t="s">
        <v>371</v>
      </c>
      <c r="E16" s="89" t="s">
        <v>955</v>
      </c>
      <c r="F16" s="102" t="s">
        <v>372</v>
      </c>
      <c r="G16" s="102" t="s">
        <v>373</v>
      </c>
      <c r="H16" s="93" t="str">
        <f t="shared" si="0"/>
        <v>ESTÁGIO EM TRANSPLANTE INTESTINAL E MULTIVISCERAL, COM O OBJETIVO DE FORMAR PROFISSIONAL PARA REALIZAÇÃO DESSES PROCEDIMENTOS NO HCPA. ALÉM DA IDENTIFICAÇÃO DE PROCESSOS DE TRABALHO E DA UTILIZAÇÃO DE INSUMOS E DE SERVIÇOS INERENTES A ESSES PROCEDIMENTO. OBJETIVANDO DEFINIR A INFRAESTRUTURA , OS INSUMOS E SERVIÇOS A SEREM DISPONIBILIZADOS NO HCPA, PARA REALIZAÇÃO DE TRANSPLANTE INTESTINAL E TRANSPLANTE MULTIVISCERAL NO HOSPITAL DE CLÍNICAS NO PERÍODO DE 2019-2021.</v>
      </c>
      <c r="I16" s="95" t="s">
        <v>374</v>
      </c>
      <c r="J16" s="200" t="s">
        <v>375</v>
      </c>
      <c r="K16" s="201">
        <v>5</v>
      </c>
      <c r="L16" s="201">
        <v>1</v>
      </c>
      <c r="M16" s="279">
        <v>0</v>
      </c>
      <c r="N16" s="279">
        <v>0</v>
      </c>
      <c r="O16" s="279"/>
      <c r="P16" s="280"/>
      <c r="Q16" s="281">
        <f>4266.38+2738.24</f>
        <v>7004.62</v>
      </c>
      <c r="R16" s="282">
        <v>7491.87</v>
      </c>
      <c r="S16" s="283">
        <f t="shared" si="1"/>
        <v>14496.49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79.5">
      <c r="A17" s="21"/>
      <c r="B17" s="86">
        <v>14</v>
      </c>
      <c r="C17" s="195" t="s">
        <v>376</v>
      </c>
      <c r="D17" s="177" t="s">
        <v>377</v>
      </c>
      <c r="E17" s="89" t="s">
        <v>956</v>
      </c>
      <c r="F17" s="92" t="s">
        <v>378</v>
      </c>
      <c r="G17" s="102" t="s">
        <v>379</v>
      </c>
      <c r="H17" s="93" t="str">
        <f t="shared" si="0"/>
        <v>PARTICIPAÇÃO NO CIRTA/2019 - CONTRIBUIRÁ PARA A CAPACITAÇÃO DA EQUIPE ASSISTENCIAL,  VISANDO MELHORIAS NO ATENDIMENTOS DOS PACIENTES COM FALÊNCIA INTESTINAL,  ASSIM COMO TAMBÉM, CONTRIBUIRÁ PARA A DIVULGAÇÃO INSTITUCIONAL  EM ÂMBITO INTERNACIONAL.</v>
      </c>
      <c r="I17" s="93" t="s">
        <v>380</v>
      </c>
      <c r="J17" s="202" t="s">
        <v>381</v>
      </c>
      <c r="K17" s="95">
        <v>29</v>
      </c>
      <c r="L17" s="95">
        <v>7</v>
      </c>
      <c r="M17" s="279">
        <v>0</v>
      </c>
      <c r="N17" s="279">
        <v>0</v>
      </c>
      <c r="O17" s="279"/>
      <c r="P17" s="280">
        <v>0</v>
      </c>
      <c r="Q17" s="281">
        <f>6415.42+217.8</f>
        <v>6633.22</v>
      </c>
      <c r="R17" s="282">
        <v>4519.9399999999996</v>
      </c>
      <c r="S17" s="283">
        <f t="shared" si="1"/>
        <v>11153.16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79.5">
      <c r="A18" s="21"/>
      <c r="B18" s="86">
        <v>15</v>
      </c>
      <c r="C18" s="195" t="s">
        <v>382</v>
      </c>
      <c r="D18" s="177" t="s">
        <v>383</v>
      </c>
      <c r="E18" s="89" t="s">
        <v>957</v>
      </c>
      <c r="F18" s="92" t="s">
        <v>384</v>
      </c>
      <c r="G18" s="102" t="s">
        <v>379</v>
      </c>
      <c r="H18" s="93" t="str">
        <f t="shared" si="0"/>
        <v>PARTICIPAÇÃO NO CIRTA/2019 - CONTRIBUIRÁ PARA A CAPACITAÇÃO DA EQUIPE ASSISTENCIAL,  VISANDO MELHORIAS NO ATENDIMENTOS DOS PACIENTES COM FALÊNCIA INTESTINAL,  ASSIM COMO TAMBÉM, CONTRIBUIRÁ PARA A DIVULGAÇÃO INSTITUCIONAL  EM ÂMBITO INTERNACIONAL.</v>
      </c>
      <c r="I18" s="93" t="s">
        <v>380</v>
      </c>
      <c r="J18" s="202" t="s">
        <v>381</v>
      </c>
      <c r="K18" s="95">
        <v>29</v>
      </c>
      <c r="L18" s="95">
        <v>7</v>
      </c>
      <c r="M18" s="279">
        <v>0</v>
      </c>
      <c r="N18" s="279">
        <v>0</v>
      </c>
      <c r="O18" s="279"/>
      <c r="P18" s="280">
        <v>0</v>
      </c>
      <c r="Q18" s="281">
        <v>6415.42</v>
      </c>
      <c r="R18" s="282">
        <v>4519.9399999999996</v>
      </c>
      <c r="S18" s="283">
        <f t="shared" si="1"/>
        <v>10935.36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79.5">
      <c r="A19" s="21"/>
      <c r="B19" s="86">
        <v>16</v>
      </c>
      <c r="C19" s="195" t="s">
        <v>385</v>
      </c>
      <c r="D19" s="177" t="s">
        <v>386</v>
      </c>
      <c r="E19" s="89" t="s">
        <v>958</v>
      </c>
      <c r="F19" s="102" t="s">
        <v>387</v>
      </c>
      <c r="G19" s="102" t="s">
        <v>379</v>
      </c>
      <c r="H19" s="93" t="str">
        <f t="shared" si="0"/>
        <v>PARTICIPAÇÃO NO CIRTA/2019 - CONTRIBUIRÁ PARA A CAPACITAÇÃO DA EQUIPE ASSISTENCIAL,  VISANDO MELHORIAS NO ATENDIMENTOS DOS PACIENTES COM FALÊNCIA INTESTINAL,  ASSIM COMO TAMBÉM, CONTRIBUIRÁ PARA A DIVULGAÇÃO INSTITUCIONAL  EM ÂMBITO INTERNACIONAL.</v>
      </c>
      <c r="I19" s="93" t="s">
        <v>380</v>
      </c>
      <c r="J19" s="202" t="s">
        <v>381</v>
      </c>
      <c r="K19" s="95">
        <v>29</v>
      </c>
      <c r="L19" s="95">
        <v>7</v>
      </c>
      <c r="M19" s="279">
        <v>0</v>
      </c>
      <c r="N19" s="279">
        <v>0</v>
      </c>
      <c r="O19" s="279"/>
      <c r="P19" s="280">
        <v>0</v>
      </c>
      <c r="Q19" s="281">
        <f>6415.42+217.8</f>
        <v>6633.22</v>
      </c>
      <c r="R19" s="282">
        <v>4519.9399999999996</v>
      </c>
      <c r="S19" s="283">
        <f t="shared" si="1"/>
        <v>11153.16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>
      <c r="A20" s="21"/>
      <c r="B20" s="86">
        <v>17</v>
      </c>
      <c r="C20" s="195" t="s">
        <v>388</v>
      </c>
      <c r="D20" s="177" t="s">
        <v>147</v>
      </c>
      <c r="E20" s="89" t="s">
        <v>896</v>
      </c>
      <c r="F20" s="93" t="s">
        <v>177</v>
      </c>
      <c r="G20" s="95" t="s">
        <v>299</v>
      </c>
      <c r="H20" s="93" t="str">
        <f t="shared" si="0"/>
        <v>REUNIÃO DO CONSELHO DIRETOR</v>
      </c>
      <c r="I20" s="95" t="s">
        <v>389</v>
      </c>
      <c r="J20" s="103">
        <v>43586</v>
      </c>
      <c r="K20" s="95">
        <v>20</v>
      </c>
      <c r="L20" s="95">
        <v>20</v>
      </c>
      <c r="M20" s="279">
        <v>0</v>
      </c>
      <c r="N20" s="279">
        <v>0</v>
      </c>
      <c r="O20" s="279"/>
      <c r="P20" s="280">
        <v>0</v>
      </c>
      <c r="Q20" s="281">
        <f>0+335+1154</f>
        <v>1489</v>
      </c>
      <c r="R20" s="282">
        <v>0</v>
      </c>
      <c r="S20" s="283">
        <f t="shared" si="1"/>
        <v>1489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ht="15.75" customHeight="1">
      <c r="A21" s="21"/>
      <c r="B21" s="86">
        <v>18</v>
      </c>
      <c r="C21" s="195" t="s">
        <v>390</v>
      </c>
      <c r="D21" s="177" t="s">
        <v>391</v>
      </c>
      <c r="E21" s="89" t="s">
        <v>959</v>
      </c>
      <c r="F21" s="102" t="s">
        <v>392</v>
      </c>
      <c r="G21" s="102" t="s">
        <v>393</v>
      </c>
      <c r="H21" s="93" t="str">
        <f t="shared" si="0"/>
        <v>MINISTRAR TREINAMENTO MÓDULO EXAMES - PATOLOGIA CIRÚRGICA.</v>
      </c>
      <c r="I21" s="93" t="s">
        <v>72</v>
      </c>
      <c r="J21" s="94">
        <v>43586</v>
      </c>
      <c r="K21" s="95">
        <v>27</v>
      </c>
      <c r="L21" s="95">
        <v>29</v>
      </c>
      <c r="M21" s="279">
        <v>0</v>
      </c>
      <c r="N21" s="279">
        <v>0</v>
      </c>
      <c r="O21" s="279"/>
      <c r="P21" s="280">
        <f>33.95+36.27+35.4+37+51.35</f>
        <v>193.97</v>
      </c>
      <c r="Q21" s="281">
        <v>1590.37</v>
      </c>
      <c r="R21" s="282">
        <f>595.7+117.15</f>
        <v>712.85</v>
      </c>
      <c r="S21" s="283">
        <f t="shared" si="1"/>
        <v>2497.19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ht="15.75" customHeight="1">
      <c r="A22" s="21"/>
      <c r="B22" s="86">
        <v>19</v>
      </c>
      <c r="C22" s="195" t="s">
        <v>394</v>
      </c>
      <c r="D22" s="203" t="s">
        <v>395</v>
      </c>
      <c r="E22" s="89" t="s">
        <v>960</v>
      </c>
      <c r="F22" s="95" t="s">
        <v>396</v>
      </c>
      <c r="G22" s="102" t="s">
        <v>397</v>
      </c>
      <c r="H22" s="93" t="str">
        <f t="shared" si="0"/>
        <v>PARTICIPAÇÃO NA FEIRA HOSPITALAR 2019</v>
      </c>
      <c r="I22" s="95" t="s">
        <v>316</v>
      </c>
      <c r="J22" s="103">
        <v>43586</v>
      </c>
      <c r="K22" s="95">
        <v>20</v>
      </c>
      <c r="L22" s="95">
        <v>24</v>
      </c>
      <c r="M22" s="279">
        <v>0</v>
      </c>
      <c r="N22" s="279">
        <v>0</v>
      </c>
      <c r="O22" s="279"/>
      <c r="P22" s="280">
        <f>45.22+35.7+44.9+70.5+51+58.5+108.1+71.22</f>
        <v>485.14</v>
      </c>
      <c r="Q22" s="281">
        <v>1018.98</v>
      </c>
      <c r="R22" s="282">
        <f>758.16+237</f>
        <v>995.16</v>
      </c>
      <c r="S22" s="283">
        <f t="shared" si="1"/>
        <v>2499.2799999999997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ht="15.75" customHeight="1">
      <c r="A23" s="21"/>
      <c r="B23" s="86">
        <v>20</v>
      </c>
      <c r="C23" s="195" t="s">
        <v>398</v>
      </c>
      <c r="D23" s="177" t="s">
        <v>399</v>
      </c>
      <c r="E23" s="89" t="s">
        <v>961</v>
      </c>
      <c r="F23" s="102" t="s">
        <v>400</v>
      </c>
      <c r="G23" s="102" t="s">
        <v>401</v>
      </c>
      <c r="H23" s="93" t="str">
        <f t="shared" si="0"/>
        <v>MINISTRAR TREINAMENTO DO MÓDULO DE FATURAMENTO DE CONVÊNIOS E PARTICULARES - PROJETO AGHUSE - EXÉRCITO</v>
      </c>
      <c r="I23" s="93" t="s">
        <v>72</v>
      </c>
      <c r="J23" s="197">
        <v>43617</v>
      </c>
      <c r="K23" s="95">
        <v>3</v>
      </c>
      <c r="L23" s="95">
        <v>7</v>
      </c>
      <c r="M23" s="279"/>
      <c r="N23" s="279">
        <v>348.96</v>
      </c>
      <c r="O23" s="279"/>
      <c r="P23" s="280">
        <f>56.14+35.69+69.33+72.81+70.2+48</f>
        <v>352.17</v>
      </c>
      <c r="Q23" s="281">
        <v>1440.37</v>
      </c>
      <c r="R23" s="282">
        <f>(1421.4+231.8)/2</f>
        <v>826.6</v>
      </c>
      <c r="S23" s="283">
        <f t="shared" si="1"/>
        <v>2968.1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ht="15.75" customHeight="1">
      <c r="A24" s="21"/>
      <c r="B24" s="86">
        <v>21</v>
      </c>
      <c r="C24" s="195" t="s">
        <v>402</v>
      </c>
      <c r="D24" s="177" t="s">
        <v>403</v>
      </c>
      <c r="E24" s="89" t="s">
        <v>962</v>
      </c>
      <c r="F24" s="102" t="s">
        <v>404</v>
      </c>
      <c r="G24" s="102" t="s">
        <v>401</v>
      </c>
      <c r="H24" s="93" t="str">
        <f t="shared" si="0"/>
        <v>MINISTRAR TREINAMENTO DO MÓDULO DE FATURAMENTO DE CONVÊNIOS E PARTICULARES - PROJETO AGHUSE - EXÉRCITO</v>
      </c>
      <c r="I24" s="93" t="s">
        <v>72</v>
      </c>
      <c r="J24" s="197">
        <v>43617</v>
      </c>
      <c r="K24" s="95">
        <v>3</v>
      </c>
      <c r="L24" s="95">
        <v>7</v>
      </c>
      <c r="M24" s="279"/>
      <c r="N24" s="279">
        <v>264.5</v>
      </c>
      <c r="O24" s="279"/>
      <c r="P24" s="280">
        <f>42+33+56+70+40+19+33+47</f>
        <v>340</v>
      </c>
      <c r="Q24" s="281">
        <v>1440.37</v>
      </c>
      <c r="R24" s="282">
        <v>826.6</v>
      </c>
      <c r="S24" s="283">
        <f t="shared" si="1"/>
        <v>2871.47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ht="15.75" customHeight="1">
      <c r="A25" s="21"/>
      <c r="B25" s="86">
        <v>22</v>
      </c>
      <c r="C25" s="195" t="s">
        <v>405</v>
      </c>
      <c r="D25" s="177" t="s">
        <v>406</v>
      </c>
      <c r="E25" s="89" t="s">
        <v>963</v>
      </c>
      <c r="F25" s="102" t="s">
        <v>407</v>
      </c>
      <c r="G25" s="102" t="s">
        <v>408</v>
      </c>
      <c r="H25" s="93" t="str">
        <f t="shared" si="0"/>
        <v>REUNIÃO DO COMITÊ ESTRATÉGICO DA COMUNIDADE AGHUSE</v>
      </c>
      <c r="I25" s="95" t="s">
        <v>207</v>
      </c>
      <c r="J25" s="103">
        <v>43586</v>
      </c>
      <c r="K25" s="95">
        <v>28</v>
      </c>
      <c r="L25" s="95">
        <v>29</v>
      </c>
      <c r="M25" s="279">
        <f>59.48+64</f>
        <v>123.47999999999999</v>
      </c>
      <c r="N25" s="279">
        <v>63.25</v>
      </c>
      <c r="O25" s="279"/>
      <c r="P25" s="280"/>
      <c r="Q25" s="281">
        <f t="shared" ref="Q25:Q27" si="2">1030.08+810.85</f>
        <v>1840.9299999999998</v>
      </c>
      <c r="R25" s="282">
        <v>322.87</v>
      </c>
      <c r="S25" s="283">
        <f t="shared" si="1"/>
        <v>2350.5299999999997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ht="15.75" customHeight="1">
      <c r="A26" s="21"/>
      <c r="B26" s="86">
        <v>23</v>
      </c>
      <c r="C26" s="195" t="s">
        <v>409</v>
      </c>
      <c r="D26" s="177" t="s">
        <v>410</v>
      </c>
      <c r="E26" s="89" t="s">
        <v>890</v>
      </c>
      <c r="F26" s="102" t="s">
        <v>214</v>
      </c>
      <c r="G26" s="102" t="s">
        <v>408</v>
      </c>
      <c r="H26" s="93" t="str">
        <f t="shared" si="0"/>
        <v>REUNIÃO DO COMITÊ ESTRATÉGICO DA COMUNIDADE AGHUSE</v>
      </c>
      <c r="I26" s="95" t="s">
        <v>207</v>
      </c>
      <c r="J26" s="103">
        <v>43587</v>
      </c>
      <c r="K26" s="95">
        <v>28</v>
      </c>
      <c r="L26" s="95">
        <v>29</v>
      </c>
      <c r="M26" s="279">
        <f>25.57+64</f>
        <v>89.57</v>
      </c>
      <c r="N26" s="279">
        <v>52.8</v>
      </c>
      <c r="O26" s="279"/>
      <c r="P26" s="280"/>
      <c r="Q26" s="281">
        <f t="shared" si="2"/>
        <v>1840.9299999999998</v>
      </c>
      <c r="R26" s="282">
        <f>322.87+6.05</f>
        <v>328.92</v>
      </c>
      <c r="S26" s="283">
        <f t="shared" si="1"/>
        <v>2312.2199999999998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ht="15.75" customHeight="1">
      <c r="A27" s="21"/>
      <c r="B27" s="86">
        <v>24</v>
      </c>
      <c r="C27" s="195" t="s">
        <v>411</v>
      </c>
      <c r="D27" s="177" t="s">
        <v>133</v>
      </c>
      <c r="E27" s="155" t="s">
        <v>893</v>
      </c>
      <c r="F27" s="102" t="s">
        <v>311</v>
      </c>
      <c r="G27" s="102" t="s">
        <v>408</v>
      </c>
      <c r="H27" s="93" t="str">
        <f t="shared" si="0"/>
        <v>REUNIÃO DO COMITÊ ESTRATÉGICO DA COMUNIDADE AGHUSE</v>
      </c>
      <c r="I27" s="95" t="s">
        <v>207</v>
      </c>
      <c r="J27" s="103">
        <v>43588</v>
      </c>
      <c r="K27" s="95">
        <v>28</v>
      </c>
      <c r="L27" s="95">
        <v>29</v>
      </c>
      <c r="M27" s="279">
        <v>37.92</v>
      </c>
      <c r="N27" s="279">
        <v>153</v>
      </c>
      <c r="O27" s="279"/>
      <c r="P27" s="280"/>
      <c r="Q27" s="281">
        <f t="shared" si="2"/>
        <v>1840.9299999999998</v>
      </c>
      <c r="R27" s="282">
        <v>322.87</v>
      </c>
      <c r="S27" s="283">
        <f t="shared" si="1"/>
        <v>2354.7199999999998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7" ht="15.75" customHeight="1">
      <c r="A28" s="21"/>
      <c r="B28" s="86">
        <v>25</v>
      </c>
      <c r="C28" s="195" t="s">
        <v>412</v>
      </c>
      <c r="D28" s="177" t="s">
        <v>192</v>
      </c>
      <c r="E28" s="89" t="s">
        <v>897</v>
      </c>
      <c r="F28" s="102" t="s">
        <v>193</v>
      </c>
      <c r="G28" s="102" t="s">
        <v>413</v>
      </c>
      <c r="H28" s="93" t="str">
        <f t="shared" si="0"/>
        <v>PARTICIPAÇÃO NO 2º ENCONTRO NACIONAL DAS ESTATAIS</v>
      </c>
      <c r="I28" s="93" t="s">
        <v>72</v>
      </c>
      <c r="J28" s="103">
        <v>43586</v>
      </c>
      <c r="K28" s="95">
        <v>27</v>
      </c>
      <c r="L28" s="95">
        <v>29</v>
      </c>
      <c r="M28" s="279"/>
      <c r="N28" s="279">
        <v>45</v>
      </c>
      <c r="O28" s="279"/>
      <c r="P28" s="280">
        <f>49.9+46.71</f>
        <v>96.61</v>
      </c>
      <c r="Q28" s="281">
        <v>2521.37</v>
      </c>
      <c r="R28" s="282">
        <f>816.9+157.25</f>
        <v>974.15</v>
      </c>
      <c r="S28" s="283">
        <f t="shared" si="1"/>
        <v>3637.13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ht="15.75" customHeight="1">
      <c r="A29" s="21"/>
      <c r="B29" s="86">
        <v>26</v>
      </c>
      <c r="C29" s="195" t="s">
        <v>414</v>
      </c>
      <c r="D29" s="177" t="s">
        <v>254</v>
      </c>
      <c r="E29" s="155" t="s">
        <v>964</v>
      </c>
      <c r="F29" s="102" t="s">
        <v>256</v>
      </c>
      <c r="G29" s="102" t="s">
        <v>415</v>
      </c>
      <c r="H29" s="93" t="str">
        <f t="shared" si="0"/>
        <v>TROCA DE EXPERIÊNCIAS GLOBAIS NO SEMINÁRIO A SUSTENTABILIDADE DO SISTEMA DE SAÚDE DO BRASIL</v>
      </c>
      <c r="I29" s="93" t="s">
        <v>316</v>
      </c>
      <c r="J29" s="103">
        <v>43586</v>
      </c>
      <c r="K29" s="95">
        <v>23</v>
      </c>
      <c r="L29" s="95">
        <v>23</v>
      </c>
      <c r="M29" s="279">
        <f>69.28+32</f>
        <v>101.28</v>
      </c>
      <c r="N29" s="279">
        <v>43.8</v>
      </c>
      <c r="O29" s="279"/>
      <c r="P29" s="280">
        <v>0</v>
      </c>
      <c r="Q29" s="281">
        <f>1182.98+1566.85</f>
        <v>2749.83</v>
      </c>
      <c r="R29" s="282">
        <v>0</v>
      </c>
      <c r="S29" s="283">
        <f t="shared" si="1"/>
        <v>2894.91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ht="15.75" customHeight="1">
      <c r="A30" s="21"/>
      <c r="B30" s="86">
        <v>27</v>
      </c>
      <c r="C30" s="195" t="s">
        <v>416</v>
      </c>
      <c r="D30" s="177" t="s">
        <v>417</v>
      </c>
      <c r="E30" s="155" t="s">
        <v>965</v>
      </c>
      <c r="F30" s="93" t="s">
        <v>418</v>
      </c>
      <c r="G30" s="102" t="s">
        <v>419</v>
      </c>
      <c r="H30" s="93" t="str">
        <f t="shared" si="0"/>
        <v>PARTICIPAR DE SEMINÁRIO DE COMPRAS PÚBLICAS CENTRALIZADAS - ENAP BRASILIA</v>
      </c>
      <c r="I30" s="93" t="s">
        <v>72</v>
      </c>
      <c r="J30" s="103">
        <v>43586</v>
      </c>
      <c r="K30" s="95">
        <v>30</v>
      </c>
      <c r="L30" s="95">
        <v>31</v>
      </c>
      <c r="M30" s="279"/>
      <c r="N30" s="279">
        <v>93.17</v>
      </c>
      <c r="O30" s="279"/>
      <c r="P30" s="280">
        <f>30+64+34+30+61</f>
        <v>219</v>
      </c>
      <c r="Q30" s="281">
        <v>2490.37</v>
      </c>
      <c r="R30" s="282">
        <f>418.95+94.45</f>
        <v>513.4</v>
      </c>
      <c r="S30" s="283">
        <f t="shared" si="1"/>
        <v>3315.94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ht="15.75" customHeight="1">
      <c r="A31" s="21"/>
      <c r="B31" s="86">
        <v>28</v>
      </c>
      <c r="C31" s="195" t="s">
        <v>420</v>
      </c>
      <c r="D31" s="177" t="s">
        <v>284</v>
      </c>
      <c r="E31" s="89" t="s">
        <v>949</v>
      </c>
      <c r="F31" s="102" t="s">
        <v>285</v>
      </c>
      <c r="G31" s="102" t="s">
        <v>421</v>
      </c>
      <c r="H31" s="93" t="str">
        <f t="shared" si="0"/>
        <v>AGHUSE - IMPLANTAÇÃO EXAMES LABORATORIAIS NO HMAB</v>
      </c>
      <c r="I31" s="93" t="s">
        <v>72</v>
      </c>
      <c r="J31" s="197">
        <v>43617</v>
      </c>
      <c r="K31" s="95">
        <v>9</v>
      </c>
      <c r="L31" s="95">
        <v>13</v>
      </c>
      <c r="M31" s="279"/>
      <c r="N31" s="279">
        <v>344.64</v>
      </c>
      <c r="O31" s="279"/>
      <c r="P31" s="280">
        <f>83.7+37.14+40+32.5+41.2+33+35.69+32.21+79.54</f>
        <v>414.98</v>
      </c>
      <c r="Q31" s="281">
        <f t="shared" ref="Q31:Q32" si="3">1285.98+724.39</f>
        <v>2010.37</v>
      </c>
      <c r="R31" s="282">
        <f>1191.4+22</f>
        <v>1213.4000000000001</v>
      </c>
      <c r="S31" s="283">
        <f t="shared" si="1"/>
        <v>3983.39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7" ht="15.75" customHeight="1">
      <c r="A32" s="21"/>
      <c r="B32" s="86">
        <v>29</v>
      </c>
      <c r="C32" s="195" t="s">
        <v>422</v>
      </c>
      <c r="D32" s="177" t="s">
        <v>423</v>
      </c>
      <c r="E32" s="89" t="s">
        <v>966</v>
      </c>
      <c r="F32" s="102" t="s">
        <v>108</v>
      </c>
      <c r="G32" s="102" t="s">
        <v>421</v>
      </c>
      <c r="H32" s="93" t="str">
        <f t="shared" si="0"/>
        <v>AGHUSE - IMPLANTAÇÃO EXAMES LABORATORIAIS NO HMAB</v>
      </c>
      <c r="I32" s="93" t="s">
        <v>72</v>
      </c>
      <c r="J32" s="197">
        <v>43617</v>
      </c>
      <c r="K32" s="95">
        <v>9</v>
      </c>
      <c r="L32" s="95">
        <v>13</v>
      </c>
      <c r="M32" s="279"/>
      <c r="N32" s="279">
        <v>306.67</v>
      </c>
      <c r="O32" s="279"/>
      <c r="P32" s="280">
        <f>30+32+38+35+58+69+49+34</f>
        <v>345</v>
      </c>
      <c r="Q32" s="281">
        <f t="shared" si="3"/>
        <v>2010.37</v>
      </c>
      <c r="R32" s="282">
        <f>1191.4+44</f>
        <v>1235.4000000000001</v>
      </c>
      <c r="S32" s="283">
        <f t="shared" si="1"/>
        <v>3897.44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</row>
    <row r="33" spans="1:37" ht="15.75" customHeight="1">
      <c r="A33" s="21"/>
      <c r="B33" s="34"/>
      <c r="C33" s="35"/>
      <c r="D33" s="36"/>
      <c r="E33" s="36"/>
      <c r="F33" s="36"/>
      <c r="G33" s="36"/>
      <c r="H33" s="36"/>
      <c r="I33" s="36"/>
      <c r="J33" s="120"/>
      <c r="K33" s="121"/>
      <c r="L33" s="121"/>
      <c r="M33" s="37"/>
      <c r="N33" s="37"/>
      <c r="O33" s="37"/>
      <c r="P33" s="22"/>
      <c r="Q33" s="38"/>
      <c r="R33" s="39"/>
      <c r="S33" s="40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</row>
    <row r="34" spans="1:37" ht="15.75" customHeight="1">
      <c r="A34" s="41"/>
      <c r="B34" s="122" t="s">
        <v>94</v>
      </c>
      <c r="C34" s="41"/>
      <c r="D34" s="123" t="s">
        <v>95</v>
      </c>
      <c r="E34" s="124"/>
      <c r="F34" s="41"/>
      <c r="G34" s="41"/>
      <c r="H34" s="41"/>
      <c r="I34" s="125"/>
      <c r="J34" s="41"/>
      <c r="K34" s="34"/>
      <c r="L34" s="41"/>
      <c r="M34" s="170">
        <f t="shared" ref="M34:R34" si="4">SUM(M4:M32)</f>
        <v>930.56999999999982</v>
      </c>
      <c r="N34" s="170">
        <f t="shared" si="4"/>
        <v>2863.28</v>
      </c>
      <c r="O34" s="170">
        <f t="shared" si="4"/>
        <v>0</v>
      </c>
      <c r="P34" s="192">
        <f t="shared" si="4"/>
        <v>4287.5600000000004</v>
      </c>
      <c r="Q34" s="128">
        <f t="shared" si="4"/>
        <v>68277.210000000006</v>
      </c>
      <c r="R34" s="129">
        <f t="shared" si="4"/>
        <v>42039.540000000008</v>
      </c>
      <c r="S34" s="46">
        <f>SUM(S4:S32)+P35</f>
        <v>118441.03560000002</v>
      </c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</row>
    <row r="35" spans="1:37" ht="15.75" customHeight="1">
      <c r="A35" s="47"/>
      <c r="B35" s="47"/>
      <c r="C35" s="47"/>
      <c r="D35" s="310"/>
      <c r="E35" s="306"/>
      <c r="F35" s="306"/>
      <c r="G35" s="306"/>
      <c r="H35" s="306"/>
      <c r="I35" s="306"/>
      <c r="J35" s="306"/>
      <c r="K35" s="306"/>
      <c r="L35" s="47"/>
      <c r="M35" s="48"/>
      <c r="N35" s="48"/>
      <c r="O35" s="130" t="s">
        <v>94</v>
      </c>
      <c r="P35" s="22">
        <f>P34*1%</f>
        <v>42.875600000000006</v>
      </c>
      <c r="Q35" s="47"/>
      <c r="R35" s="47"/>
      <c r="S35" s="52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</row>
    <row r="36" spans="1:37" ht="15.75" customHeight="1">
      <c r="A36" s="47"/>
      <c r="B36" s="47"/>
      <c r="C36" s="47"/>
      <c r="D36" s="187"/>
      <c r="E36" s="187"/>
      <c r="F36" s="187"/>
      <c r="G36" s="47"/>
      <c r="H36" s="47"/>
      <c r="I36" s="50"/>
      <c r="J36" s="47"/>
      <c r="K36" s="47"/>
      <c r="L36" s="47"/>
      <c r="M36" s="48"/>
      <c r="N36" s="48"/>
      <c r="O36" s="48"/>
      <c r="P36" s="131">
        <f>P34+P35</f>
        <v>4330.4356000000007</v>
      </c>
      <c r="Q36" s="51"/>
      <c r="R36" s="52"/>
      <c r="S36" s="132" t="s">
        <v>96</v>
      </c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</row>
    <row r="37" spans="1:37" ht="15.75" customHeight="1">
      <c r="A37" s="47"/>
      <c r="B37" s="47"/>
      <c r="C37" s="47"/>
      <c r="D37" s="311"/>
      <c r="E37" s="306"/>
      <c r="F37" s="306"/>
      <c r="G37" s="306"/>
      <c r="H37" s="306"/>
      <c r="I37" s="306"/>
      <c r="J37" s="306"/>
      <c r="K37" s="306"/>
      <c r="L37" s="47"/>
      <c r="M37" s="48"/>
      <c r="N37" s="48"/>
      <c r="O37" s="48"/>
      <c r="P37" s="22"/>
      <c r="Q37" s="4" t="s">
        <v>26</v>
      </c>
      <c r="R37" s="133">
        <f>M34+N34+O34+P36+Q34+R34</f>
        <v>118441.03560000002</v>
      </c>
      <c r="S37" s="56">
        <f>S34-R37</f>
        <v>0</v>
      </c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</row>
    <row r="38" spans="1:37" ht="15.75" customHeight="1">
      <c r="C38" s="1"/>
      <c r="D38" s="1"/>
      <c r="E38" s="1"/>
      <c r="F38" s="1"/>
      <c r="G38" s="1"/>
      <c r="H38" s="1"/>
      <c r="I38" s="2"/>
      <c r="J38" s="63"/>
      <c r="K38" s="63"/>
      <c r="L38" s="63"/>
      <c r="M38" s="3"/>
      <c r="N38" s="3"/>
      <c r="O38" s="130" t="s">
        <v>94</v>
      </c>
      <c r="P38" s="22" t="s">
        <v>97</v>
      </c>
      <c r="Q38" s="4"/>
      <c r="R38" s="5"/>
      <c r="S38" s="5"/>
    </row>
    <row r="39" spans="1:37" ht="15.75" customHeight="1">
      <c r="C39" s="1"/>
      <c r="D39" s="1"/>
      <c r="E39" s="1"/>
      <c r="F39" s="1"/>
      <c r="G39" s="1"/>
      <c r="H39" s="1"/>
      <c r="I39" s="2"/>
      <c r="J39" s="63"/>
      <c r="K39" s="63"/>
      <c r="L39" s="63"/>
      <c r="M39" s="3"/>
      <c r="N39" s="3"/>
      <c r="O39" s="3"/>
      <c r="P39" s="22"/>
      <c r="Q39" s="4"/>
      <c r="R39" s="5"/>
      <c r="S39" s="5"/>
    </row>
    <row r="40" spans="1:37" ht="15.75" customHeight="1">
      <c r="C40" s="1"/>
      <c r="D40" s="1"/>
      <c r="E40" s="1"/>
      <c r="F40" s="1"/>
      <c r="G40" s="1"/>
      <c r="H40" s="1"/>
      <c r="I40" s="2"/>
      <c r="J40" s="63"/>
      <c r="K40" s="63"/>
      <c r="L40" s="63"/>
      <c r="M40" s="3"/>
      <c r="N40" s="3"/>
      <c r="O40" s="3"/>
      <c r="P40" s="22"/>
      <c r="Q40" s="4"/>
      <c r="R40" s="5"/>
      <c r="S40" s="5"/>
    </row>
    <row r="41" spans="1:37" ht="15.75" customHeight="1">
      <c r="C41" s="1"/>
      <c r="D41" s="1"/>
      <c r="E41" s="1"/>
      <c r="F41" s="1"/>
      <c r="G41" s="1"/>
      <c r="H41" s="1"/>
      <c r="I41" s="2"/>
      <c r="J41" s="63"/>
      <c r="K41" s="63"/>
      <c r="L41" s="63"/>
      <c r="M41" s="3"/>
      <c r="N41" s="3"/>
      <c r="O41" s="3"/>
      <c r="P41" s="22"/>
      <c r="Q41" s="4"/>
      <c r="R41" s="5"/>
      <c r="S41" s="5"/>
    </row>
    <row r="42" spans="1:37" ht="15.75" customHeight="1">
      <c r="C42" s="1"/>
      <c r="D42" s="1"/>
      <c r="E42" s="1"/>
      <c r="F42" s="1"/>
      <c r="G42" s="1"/>
      <c r="H42" s="1"/>
      <c r="I42" s="2"/>
      <c r="J42" s="63"/>
      <c r="K42" s="63"/>
      <c r="L42" s="63"/>
      <c r="M42" s="3"/>
      <c r="N42" s="3"/>
      <c r="O42" s="3"/>
      <c r="P42" s="22"/>
      <c r="Q42" s="4"/>
      <c r="R42" s="5"/>
      <c r="S42" s="5"/>
    </row>
    <row r="43" spans="1:37" ht="15.75" customHeight="1">
      <c r="C43" s="1"/>
      <c r="D43" s="1"/>
      <c r="E43" s="1"/>
      <c r="F43" s="1"/>
      <c r="G43" s="1"/>
      <c r="H43" s="1"/>
      <c r="I43" s="2"/>
      <c r="J43" s="63"/>
      <c r="K43" s="63"/>
      <c r="L43" s="63"/>
      <c r="M43" s="3"/>
      <c r="N43" s="3"/>
      <c r="O43" s="3"/>
      <c r="P43" s="22"/>
      <c r="Q43" s="4"/>
      <c r="R43" s="5"/>
      <c r="S43" s="5"/>
    </row>
    <row r="44" spans="1:37" ht="15.75" customHeight="1">
      <c r="C44" s="1"/>
      <c r="D44" s="1"/>
      <c r="E44" s="1"/>
      <c r="F44" s="1"/>
      <c r="G44" s="1"/>
      <c r="H44" s="1"/>
      <c r="I44" s="2"/>
      <c r="J44" s="63"/>
      <c r="K44" s="63"/>
      <c r="L44" s="63"/>
      <c r="M44" s="3"/>
      <c r="N44" s="3"/>
      <c r="O44" s="3"/>
      <c r="P44" s="22"/>
    </row>
    <row r="45" spans="1:37" ht="15.75" customHeight="1">
      <c r="C45" s="1"/>
      <c r="D45" s="1"/>
      <c r="E45" s="1"/>
      <c r="F45" s="1"/>
      <c r="G45" s="1"/>
      <c r="H45" s="1"/>
      <c r="I45" s="2"/>
      <c r="J45" s="63"/>
      <c r="K45" s="63"/>
      <c r="L45" s="63"/>
      <c r="M45" s="3"/>
      <c r="N45" s="3"/>
      <c r="O45" s="3"/>
      <c r="P45" s="22"/>
    </row>
    <row r="46" spans="1:37" ht="15.75" customHeight="1">
      <c r="C46" s="1"/>
      <c r="I46" s="2"/>
      <c r="J46" s="63"/>
      <c r="K46" s="63"/>
      <c r="L46" s="63"/>
      <c r="M46" s="3"/>
      <c r="N46" s="3"/>
      <c r="O46" s="3"/>
      <c r="P46" s="22"/>
    </row>
    <row r="47" spans="1:37" ht="15.75" customHeight="1">
      <c r="C47" s="1"/>
      <c r="D47" s="1"/>
      <c r="E47" s="1"/>
      <c r="F47" s="1"/>
      <c r="G47" s="1"/>
      <c r="H47" s="1"/>
      <c r="I47" s="2"/>
      <c r="J47" s="63"/>
      <c r="K47" s="63"/>
      <c r="L47" s="63"/>
      <c r="M47" s="3"/>
      <c r="N47" s="3"/>
      <c r="O47" s="3"/>
      <c r="P47" s="22"/>
    </row>
    <row r="48" spans="1:37" ht="15.75" customHeight="1">
      <c r="C48" s="1"/>
      <c r="D48" s="1"/>
      <c r="E48" s="1"/>
      <c r="F48" s="1"/>
      <c r="G48" s="1"/>
      <c r="H48" s="1"/>
      <c r="I48" s="2"/>
      <c r="J48" s="63"/>
      <c r="K48" s="63"/>
      <c r="L48" s="63"/>
      <c r="M48" s="3"/>
      <c r="N48" s="3"/>
      <c r="O48" s="3"/>
      <c r="P48" s="134"/>
    </row>
    <row r="49" spans="3:16" ht="15.75" customHeight="1">
      <c r="C49" s="1"/>
      <c r="D49" s="1"/>
      <c r="E49" s="1"/>
      <c r="F49" s="1"/>
      <c r="G49" s="1"/>
      <c r="H49" s="1"/>
      <c r="I49" s="2"/>
      <c r="J49" s="63"/>
      <c r="K49" s="63"/>
      <c r="L49" s="63"/>
      <c r="M49" s="3"/>
      <c r="N49" s="3"/>
      <c r="O49" s="3"/>
      <c r="P49" s="47"/>
    </row>
    <row r="50" spans="3:16" ht="15.75" customHeight="1">
      <c r="C50" s="1"/>
      <c r="D50" s="1"/>
      <c r="E50" s="1"/>
      <c r="F50" s="1"/>
      <c r="G50" s="1"/>
      <c r="H50" s="1"/>
      <c r="I50" s="2"/>
      <c r="J50" s="63"/>
      <c r="K50" s="63"/>
      <c r="L50" s="63"/>
      <c r="M50" s="3"/>
      <c r="N50" s="3"/>
      <c r="O50" s="3"/>
      <c r="P50" s="47"/>
    </row>
    <row r="51" spans="3:16" ht="15.75" customHeight="1">
      <c r="C51" s="1"/>
      <c r="D51" s="1"/>
      <c r="E51" s="1"/>
      <c r="F51" s="1"/>
      <c r="G51" s="1"/>
      <c r="H51" s="1"/>
      <c r="I51" s="2"/>
      <c r="J51" s="63"/>
      <c r="K51" s="63"/>
      <c r="L51" s="63"/>
      <c r="M51" s="3"/>
      <c r="N51" s="3"/>
      <c r="O51" s="3"/>
      <c r="P51" s="47"/>
    </row>
    <row r="52" spans="3:16" ht="15.75" customHeight="1">
      <c r="C52" s="1"/>
      <c r="D52" s="1"/>
      <c r="E52" s="1"/>
      <c r="F52" s="1"/>
      <c r="G52" s="1"/>
      <c r="H52" s="1"/>
      <c r="I52" s="2"/>
      <c r="J52" s="63"/>
      <c r="K52" s="63"/>
      <c r="L52" s="63"/>
      <c r="M52" s="3"/>
      <c r="N52" s="3"/>
      <c r="O52" s="3"/>
    </row>
    <row r="53" spans="3:16" ht="15.75" customHeight="1">
      <c r="C53" s="1"/>
      <c r="D53" s="1"/>
      <c r="E53" s="1"/>
      <c r="F53" s="1"/>
      <c r="G53" s="1"/>
      <c r="H53" s="1"/>
      <c r="I53" s="2"/>
      <c r="J53" s="63"/>
      <c r="K53" s="63"/>
      <c r="L53" s="63"/>
      <c r="M53" s="3"/>
      <c r="N53" s="3"/>
      <c r="O53" s="3"/>
    </row>
    <row r="54" spans="3:16" ht="15.75" customHeight="1">
      <c r="C54" s="1"/>
      <c r="D54" s="1"/>
      <c r="E54" s="1"/>
      <c r="F54" s="1"/>
      <c r="G54" s="1"/>
      <c r="H54" s="1"/>
      <c r="I54" s="2"/>
      <c r="J54" s="63"/>
      <c r="K54" s="63"/>
      <c r="L54" s="63"/>
      <c r="M54" s="3"/>
      <c r="N54" s="3"/>
      <c r="O54" s="3"/>
    </row>
    <row r="55" spans="3:16" ht="15.75" customHeight="1">
      <c r="C55" s="1"/>
      <c r="D55" s="1"/>
      <c r="E55" s="1"/>
      <c r="F55" s="1"/>
      <c r="G55" s="1"/>
      <c r="H55" s="1"/>
      <c r="I55" s="2"/>
      <c r="J55" s="63"/>
      <c r="K55" s="63"/>
      <c r="L55" s="63"/>
      <c r="M55" s="3"/>
      <c r="N55" s="3"/>
      <c r="O55" s="3"/>
    </row>
    <row r="56" spans="3:16" ht="15.75" customHeight="1">
      <c r="C56" s="1"/>
      <c r="D56" s="1"/>
      <c r="E56" s="1"/>
      <c r="F56" s="1"/>
      <c r="G56" s="1"/>
      <c r="H56" s="1"/>
      <c r="I56" s="2"/>
      <c r="J56" s="63"/>
      <c r="K56" s="63"/>
      <c r="L56" s="63"/>
      <c r="M56" s="3"/>
      <c r="N56" s="3"/>
      <c r="O56" s="3"/>
    </row>
    <row r="57" spans="3:16" ht="15.75" customHeight="1">
      <c r="C57" s="1"/>
      <c r="D57" s="1"/>
      <c r="E57" s="1"/>
      <c r="F57" s="1"/>
      <c r="G57" s="1"/>
      <c r="H57" s="1"/>
      <c r="I57" s="2"/>
      <c r="J57" s="63"/>
      <c r="K57" s="63"/>
      <c r="L57" s="63"/>
      <c r="M57" s="3"/>
      <c r="N57" s="3"/>
      <c r="O57" s="3"/>
    </row>
    <row r="58" spans="3:16" ht="15.75" customHeight="1">
      <c r="C58" s="1"/>
      <c r="D58" s="1"/>
      <c r="E58" s="1"/>
      <c r="F58" s="1"/>
      <c r="G58" s="1"/>
      <c r="H58" s="1"/>
      <c r="I58" s="2"/>
      <c r="J58" s="63"/>
      <c r="K58" s="63"/>
      <c r="L58" s="63"/>
      <c r="M58" s="3"/>
      <c r="N58" s="3"/>
      <c r="O58" s="3"/>
    </row>
    <row r="59" spans="3:16" ht="15.75" customHeight="1">
      <c r="C59" s="1"/>
      <c r="D59" s="1"/>
      <c r="E59" s="1"/>
      <c r="F59" s="1"/>
      <c r="G59" s="1"/>
      <c r="H59" s="1"/>
      <c r="I59" s="2"/>
      <c r="J59" s="63"/>
      <c r="K59" s="63"/>
      <c r="L59" s="63"/>
      <c r="M59" s="3"/>
      <c r="N59" s="3"/>
      <c r="O59" s="3"/>
    </row>
    <row r="60" spans="3:16" ht="15.75" customHeight="1">
      <c r="C60" s="1"/>
      <c r="D60" s="1"/>
      <c r="E60" s="1"/>
      <c r="F60" s="1"/>
      <c r="G60" s="1"/>
      <c r="H60" s="1"/>
      <c r="I60" s="2"/>
      <c r="J60" s="63"/>
      <c r="K60" s="63"/>
      <c r="L60" s="63"/>
    </row>
    <row r="61" spans="3:16" ht="15.75" customHeight="1">
      <c r="C61" s="1"/>
      <c r="D61" s="1"/>
      <c r="E61" s="1"/>
      <c r="F61" s="1"/>
      <c r="G61" s="1"/>
      <c r="H61" s="1"/>
      <c r="I61" s="2"/>
      <c r="J61" s="63"/>
      <c r="K61" s="63"/>
      <c r="L61" s="63"/>
    </row>
    <row r="62" spans="3:16" ht="15.75" customHeight="1">
      <c r="C62" s="1"/>
      <c r="D62" s="1"/>
      <c r="E62" s="1"/>
      <c r="F62" s="1"/>
      <c r="G62" s="1"/>
      <c r="H62" s="1"/>
      <c r="I62" s="2"/>
      <c r="J62" s="63"/>
      <c r="K62" s="63"/>
      <c r="L62" s="63"/>
    </row>
    <row r="63" spans="3:16" ht="15.75" customHeight="1">
      <c r="C63" s="1"/>
      <c r="D63" s="1"/>
      <c r="E63" s="1"/>
      <c r="F63" s="1"/>
      <c r="G63" s="1"/>
      <c r="H63" s="1"/>
      <c r="I63" s="2"/>
      <c r="J63" s="63"/>
      <c r="K63" s="63"/>
      <c r="L63" s="63"/>
    </row>
    <row r="64" spans="3:16" ht="15.75" customHeight="1">
      <c r="C64" s="1"/>
      <c r="D64" s="1"/>
      <c r="E64" s="1"/>
      <c r="F64" s="1"/>
      <c r="G64" s="1"/>
      <c r="H64" s="1"/>
      <c r="I64" s="2"/>
      <c r="J64" s="63"/>
      <c r="K64" s="63"/>
      <c r="L64" s="63"/>
    </row>
    <row r="65" spans="3:12" ht="15.75" customHeight="1">
      <c r="C65" s="1"/>
      <c r="D65" s="1"/>
      <c r="E65" s="1"/>
      <c r="F65" s="1"/>
      <c r="G65" s="1"/>
      <c r="H65" s="1"/>
      <c r="I65" s="2"/>
      <c r="J65" s="63"/>
      <c r="K65" s="63"/>
      <c r="L65" s="63"/>
    </row>
    <row r="66" spans="3:12" ht="15.75" customHeight="1">
      <c r="C66" s="1"/>
      <c r="D66" s="1"/>
      <c r="E66" s="1"/>
      <c r="F66" s="1"/>
      <c r="G66" s="1"/>
      <c r="H66" s="1"/>
      <c r="I66" s="2"/>
      <c r="J66" s="63"/>
      <c r="K66" s="63"/>
      <c r="L66" s="63"/>
    </row>
    <row r="67" spans="3:12" ht="15.75" customHeight="1">
      <c r="C67" s="1"/>
      <c r="D67" s="1"/>
      <c r="E67" s="1"/>
      <c r="F67" s="1"/>
      <c r="G67" s="1"/>
      <c r="H67" s="1"/>
      <c r="I67" s="2"/>
      <c r="J67" s="63"/>
      <c r="K67" s="63"/>
      <c r="L67" s="63"/>
    </row>
    <row r="68" spans="3:12" ht="15.75" customHeight="1">
      <c r="C68" s="1"/>
      <c r="D68" s="1"/>
      <c r="E68" s="1"/>
      <c r="F68" s="1"/>
      <c r="G68" s="1"/>
      <c r="H68" s="1"/>
      <c r="I68" s="2"/>
      <c r="J68" s="63"/>
      <c r="K68" s="63"/>
      <c r="L68" s="63"/>
    </row>
    <row r="69" spans="3:12" ht="15.75" customHeight="1">
      <c r="C69" s="1"/>
      <c r="D69" s="1"/>
      <c r="E69" s="1"/>
      <c r="F69" s="1"/>
      <c r="G69" s="1"/>
      <c r="H69" s="1"/>
      <c r="I69" s="2"/>
      <c r="J69" s="63"/>
      <c r="K69" s="63"/>
      <c r="L69" s="63"/>
    </row>
    <row r="70" spans="3:12" ht="15.75" customHeight="1">
      <c r="C70" s="1"/>
      <c r="D70" s="1"/>
      <c r="E70" s="1"/>
      <c r="F70" s="1"/>
      <c r="G70" s="1"/>
      <c r="H70" s="1"/>
      <c r="I70" s="2"/>
      <c r="J70" s="63"/>
      <c r="K70" s="63"/>
      <c r="L70" s="63"/>
    </row>
    <row r="71" spans="3:12" ht="15.75" customHeight="1">
      <c r="C71" s="1"/>
      <c r="D71" s="1"/>
      <c r="E71" s="1"/>
      <c r="F71" s="1"/>
      <c r="G71" s="1"/>
      <c r="H71" s="1"/>
      <c r="I71" s="2"/>
      <c r="J71" s="63"/>
      <c r="K71" s="63"/>
      <c r="L71" s="63"/>
    </row>
    <row r="72" spans="3:12" ht="15.75" customHeight="1">
      <c r="C72" s="1"/>
      <c r="D72" s="1"/>
      <c r="E72" s="1"/>
      <c r="F72" s="1"/>
      <c r="G72" s="1"/>
      <c r="H72" s="1"/>
      <c r="I72" s="2"/>
      <c r="J72" s="63"/>
      <c r="K72" s="63"/>
      <c r="L72" s="63"/>
    </row>
    <row r="73" spans="3:12" ht="15.75" customHeight="1">
      <c r="C73" s="1"/>
      <c r="D73" s="1"/>
      <c r="E73" s="1"/>
      <c r="F73" s="1"/>
      <c r="G73" s="1"/>
      <c r="H73" s="1"/>
      <c r="I73" s="2"/>
      <c r="J73" s="63"/>
      <c r="K73" s="63"/>
      <c r="L73" s="63"/>
    </row>
    <row r="74" spans="3:12" ht="15.75" customHeight="1">
      <c r="C74" s="1"/>
      <c r="D74" s="1"/>
      <c r="E74" s="1"/>
      <c r="F74" s="1"/>
      <c r="G74" s="1"/>
      <c r="H74" s="1"/>
      <c r="I74" s="2"/>
      <c r="J74" s="63"/>
      <c r="K74" s="63"/>
      <c r="L74" s="63"/>
    </row>
    <row r="75" spans="3:12" ht="15.75" customHeight="1">
      <c r="C75" s="1"/>
      <c r="D75" s="1"/>
      <c r="E75" s="1"/>
      <c r="F75" s="1"/>
      <c r="G75" s="1"/>
      <c r="H75" s="1"/>
      <c r="I75" s="2"/>
      <c r="J75" s="63"/>
      <c r="K75" s="63"/>
      <c r="L75" s="63"/>
    </row>
    <row r="76" spans="3:12" ht="15.75" customHeight="1">
      <c r="C76" s="1"/>
      <c r="D76" s="1"/>
      <c r="E76" s="1"/>
      <c r="F76" s="1"/>
      <c r="G76" s="1"/>
      <c r="H76" s="1"/>
      <c r="I76" s="2"/>
      <c r="J76" s="63"/>
      <c r="K76" s="63"/>
      <c r="L76" s="63"/>
    </row>
    <row r="77" spans="3:12" ht="15.75" customHeight="1">
      <c r="C77" s="1"/>
      <c r="D77" s="1"/>
      <c r="E77" s="1"/>
      <c r="F77" s="1"/>
      <c r="G77" s="1"/>
      <c r="H77" s="1"/>
      <c r="I77" s="2"/>
      <c r="J77" s="63"/>
      <c r="K77" s="63"/>
      <c r="L77" s="63"/>
    </row>
    <row r="78" spans="3:12" ht="15.75" customHeight="1">
      <c r="C78" s="1"/>
      <c r="D78" s="1"/>
      <c r="E78" s="1"/>
      <c r="F78" s="1"/>
      <c r="G78" s="1"/>
      <c r="H78" s="1"/>
      <c r="I78" s="2"/>
      <c r="J78" s="63"/>
      <c r="K78" s="63"/>
      <c r="L78" s="63"/>
    </row>
    <row r="79" spans="3:12" ht="15.75" customHeight="1">
      <c r="C79" s="1"/>
      <c r="D79" s="1"/>
      <c r="E79" s="1"/>
      <c r="F79" s="1"/>
      <c r="G79" s="1"/>
      <c r="H79" s="1"/>
      <c r="I79" s="2"/>
      <c r="J79" s="63"/>
      <c r="K79" s="63"/>
      <c r="L79" s="63"/>
    </row>
    <row r="80" spans="3:12" ht="15.75" customHeight="1">
      <c r="C80" s="1"/>
      <c r="D80" s="1"/>
      <c r="E80" s="1"/>
      <c r="F80" s="1"/>
      <c r="G80" s="1"/>
      <c r="H80" s="1"/>
      <c r="I80" s="2"/>
      <c r="J80" s="63"/>
      <c r="K80" s="63"/>
      <c r="L80" s="63"/>
    </row>
    <row r="81" spans="3:12" ht="15.75" customHeight="1">
      <c r="C81" s="1"/>
      <c r="D81" s="1"/>
      <c r="E81" s="1"/>
      <c r="F81" s="1"/>
      <c r="G81" s="1"/>
      <c r="H81" s="1"/>
      <c r="I81" s="2"/>
      <c r="J81" s="63"/>
      <c r="K81" s="63"/>
      <c r="L81" s="63"/>
    </row>
    <row r="82" spans="3:12" ht="15.75" customHeight="1">
      <c r="C82" s="1"/>
      <c r="D82" s="1"/>
      <c r="E82" s="1"/>
      <c r="F82" s="1"/>
      <c r="G82" s="1"/>
      <c r="H82" s="1"/>
      <c r="I82" s="2"/>
      <c r="J82" s="63"/>
      <c r="K82" s="63"/>
      <c r="L82" s="63"/>
    </row>
    <row r="83" spans="3:12" ht="15.75" customHeight="1">
      <c r="C83" s="1"/>
      <c r="D83" s="1"/>
      <c r="E83" s="1"/>
      <c r="F83" s="1"/>
      <c r="G83" s="1"/>
      <c r="H83" s="1"/>
      <c r="I83" s="2"/>
      <c r="J83" s="63"/>
      <c r="K83" s="63"/>
      <c r="L83" s="63"/>
    </row>
    <row r="84" spans="3:12" ht="15.75" customHeight="1">
      <c r="C84" s="1"/>
      <c r="D84" s="1"/>
      <c r="E84" s="1"/>
      <c r="F84" s="1"/>
      <c r="G84" s="1"/>
      <c r="H84" s="1"/>
      <c r="I84" s="2"/>
      <c r="J84" s="63"/>
      <c r="K84" s="63"/>
      <c r="L84" s="63"/>
    </row>
    <row r="85" spans="3:12" ht="15.75" customHeight="1">
      <c r="C85" s="1"/>
      <c r="D85" s="1"/>
      <c r="E85" s="1"/>
      <c r="F85" s="1"/>
      <c r="G85" s="1"/>
      <c r="H85" s="1"/>
      <c r="I85" s="2"/>
      <c r="J85" s="63"/>
      <c r="K85" s="63"/>
      <c r="L85" s="63"/>
    </row>
    <row r="86" spans="3:12" ht="15.75" customHeight="1">
      <c r="C86" s="1"/>
      <c r="D86" s="1"/>
      <c r="E86" s="1"/>
      <c r="F86" s="1"/>
      <c r="G86" s="1"/>
      <c r="H86" s="1"/>
      <c r="I86" s="2"/>
      <c r="J86" s="63"/>
      <c r="K86" s="63"/>
      <c r="L86" s="63"/>
    </row>
    <row r="87" spans="3:12" ht="15.75" customHeight="1">
      <c r="C87" s="1"/>
      <c r="D87" s="1"/>
      <c r="E87" s="1"/>
      <c r="F87" s="1"/>
      <c r="G87" s="1"/>
      <c r="H87" s="1"/>
      <c r="I87" s="2"/>
      <c r="J87" s="63"/>
      <c r="K87" s="63"/>
      <c r="L87" s="63"/>
    </row>
    <row r="88" spans="3:12" ht="15.75" customHeight="1">
      <c r="C88" s="1"/>
      <c r="D88" s="1"/>
      <c r="E88" s="1"/>
      <c r="F88" s="1"/>
      <c r="G88" s="1"/>
      <c r="H88" s="1"/>
      <c r="I88" s="2"/>
      <c r="J88" s="63"/>
      <c r="K88" s="63"/>
      <c r="L88" s="63"/>
    </row>
    <row r="89" spans="3:12" ht="15.75" customHeight="1">
      <c r="C89" s="1"/>
      <c r="D89" s="1"/>
      <c r="E89" s="1"/>
      <c r="F89" s="1"/>
      <c r="G89" s="1"/>
      <c r="H89" s="1"/>
      <c r="I89" s="2"/>
      <c r="J89" s="63"/>
      <c r="K89" s="63"/>
      <c r="L89" s="63"/>
    </row>
    <row r="90" spans="3:12" ht="15.75" customHeight="1">
      <c r="C90" s="1"/>
      <c r="D90" s="1"/>
      <c r="E90" s="1"/>
      <c r="F90" s="1"/>
      <c r="G90" s="1"/>
      <c r="H90" s="1"/>
      <c r="I90" s="2"/>
      <c r="J90" s="63"/>
      <c r="K90" s="63"/>
      <c r="L90" s="63"/>
    </row>
    <row r="91" spans="3:12" ht="15.75" customHeight="1">
      <c r="C91" s="1"/>
      <c r="D91" s="1"/>
      <c r="E91" s="1"/>
      <c r="F91" s="1"/>
      <c r="G91" s="1"/>
      <c r="H91" s="1"/>
      <c r="I91" s="2"/>
      <c r="J91" s="63"/>
      <c r="K91" s="63"/>
      <c r="L91" s="63"/>
    </row>
    <row r="92" spans="3:12" ht="15.75" customHeight="1">
      <c r="C92" s="1"/>
      <c r="D92" s="1"/>
      <c r="E92" s="1"/>
      <c r="F92" s="1"/>
      <c r="G92" s="1"/>
      <c r="H92" s="1"/>
      <c r="I92" s="2"/>
      <c r="J92" s="63"/>
      <c r="K92" s="63"/>
      <c r="L92" s="63"/>
    </row>
    <row r="93" spans="3:12" ht="15.75" customHeight="1">
      <c r="C93" s="1"/>
      <c r="D93" s="1"/>
      <c r="E93" s="1"/>
      <c r="F93" s="1"/>
      <c r="G93" s="1"/>
      <c r="H93" s="1"/>
      <c r="I93" s="2"/>
      <c r="J93" s="63"/>
      <c r="K93" s="63"/>
      <c r="L93" s="63"/>
    </row>
    <row r="94" spans="3:12" ht="15.75" customHeight="1">
      <c r="C94" s="1"/>
      <c r="D94" s="1"/>
      <c r="E94" s="1"/>
      <c r="F94" s="1"/>
      <c r="G94" s="1"/>
      <c r="H94" s="1"/>
      <c r="I94" s="2"/>
      <c r="J94" s="63"/>
      <c r="K94" s="63"/>
      <c r="L94" s="63"/>
    </row>
    <row r="95" spans="3:12" ht="15.75" customHeight="1">
      <c r="C95" s="1"/>
      <c r="D95" s="1"/>
      <c r="E95" s="1"/>
      <c r="F95" s="1"/>
      <c r="G95" s="1"/>
      <c r="H95" s="1"/>
      <c r="I95" s="2"/>
      <c r="J95" s="63"/>
      <c r="K95" s="63"/>
      <c r="L95" s="63"/>
    </row>
    <row r="96" spans="3:12" ht="15.75" customHeight="1">
      <c r="C96" s="1"/>
      <c r="D96" s="1"/>
      <c r="E96" s="1"/>
      <c r="F96" s="1"/>
      <c r="G96" s="1"/>
      <c r="H96" s="1"/>
      <c r="I96" s="2"/>
      <c r="J96" s="63"/>
      <c r="K96" s="63"/>
      <c r="L96" s="63"/>
    </row>
    <row r="97" spans="3:12" ht="15.75" customHeight="1">
      <c r="C97" s="1"/>
      <c r="D97" s="1"/>
      <c r="E97" s="1"/>
      <c r="F97" s="1"/>
      <c r="G97" s="1"/>
      <c r="H97" s="1"/>
      <c r="I97" s="2"/>
      <c r="J97" s="63"/>
      <c r="K97" s="63"/>
      <c r="L97" s="63"/>
    </row>
    <row r="98" spans="3:12" ht="15.75" customHeight="1">
      <c r="C98" s="1"/>
      <c r="D98" s="1"/>
      <c r="E98" s="1"/>
      <c r="F98" s="1"/>
      <c r="G98" s="1"/>
      <c r="H98" s="1"/>
      <c r="I98" s="2"/>
      <c r="J98" s="63"/>
      <c r="K98" s="63"/>
      <c r="L98" s="63"/>
    </row>
    <row r="99" spans="3:12" ht="15.75" customHeight="1">
      <c r="C99" s="1"/>
      <c r="D99" s="1"/>
      <c r="E99" s="1"/>
      <c r="F99" s="1"/>
      <c r="G99" s="1"/>
      <c r="H99" s="1"/>
      <c r="I99" s="2"/>
      <c r="J99" s="63"/>
      <c r="K99" s="63"/>
      <c r="L99" s="63"/>
    </row>
    <row r="100" spans="3:12" ht="15.75" customHeight="1">
      <c r="C100" s="1"/>
      <c r="D100" s="1"/>
      <c r="E100" s="1"/>
      <c r="F100" s="1"/>
      <c r="G100" s="1"/>
      <c r="H100" s="1"/>
      <c r="I100" s="2"/>
      <c r="J100" s="63"/>
      <c r="K100" s="63"/>
      <c r="L100" s="63"/>
    </row>
    <row r="101" spans="3:12" ht="15.75" customHeight="1">
      <c r="C101" s="1"/>
      <c r="D101" s="1"/>
      <c r="E101" s="1"/>
      <c r="F101" s="1"/>
      <c r="G101" s="1"/>
      <c r="H101" s="1"/>
      <c r="I101" s="2"/>
      <c r="J101" s="63"/>
      <c r="K101" s="63"/>
      <c r="L101" s="63"/>
    </row>
    <row r="102" spans="3:12" ht="15.75" customHeight="1">
      <c r="C102" s="1"/>
      <c r="D102" s="1"/>
      <c r="E102" s="1"/>
      <c r="F102" s="1"/>
      <c r="G102" s="1"/>
      <c r="H102" s="1"/>
      <c r="I102" s="2"/>
      <c r="J102" s="63"/>
      <c r="K102" s="63"/>
      <c r="L102" s="63"/>
    </row>
    <row r="103" spans="3:12" ht="15.75" customHeight="1">
      <c r="C103" s="1"/>
      <c r="D103" s="1"/>
      <c r="E103" s="1"/>
      <c r="F103" s="1"/>
      <c r="G103" s="1"/>
      <c r="H103" s="1"/>
      <c r="I103" s="2"/>
      <c r="J103" s="63"/>
      <c r="K103" s="63"/>
      <c r="L103" s="63"/>
    </row>
    <row r="104" spans="3:12" ht="15.75" customHeight="1">
      <c r="C104" s="1"/>
      <c r="D104" s="1"/>
      <c r="E104" s="1"/>
      <c r="F104" s="1"/>
      <c r="G104" s="1"/>
      <c r="H104" s="1"/>
      <c r="I104" s="2"/>
      <c r="J104" s="63"/>
      <c r="K104" s="63"/>
      <c r="L104" s="63"/>
    </row>
    <row r="105" spans="3:12" ht="15.75" customHeight="1">
      <c r="C105" s="1"/>
      <c r="D105" s="1"/>
      <c r="E105" s="1"/>
      <c r="F105" s="1"/>
      <c r="G105" s="1"/>
      <c r="H105" s="1"/>
      <c r="I105" s="2"/>
      <c r="J105" s="63"/>
      <c r="K105" s="63"/>
      <c r="L105" s="63"/>
    </row>
    <row r="106" spans="3:12" ht="15.75" customHeight="1">
      <c r="C106" s="1"/>
      <c r="D106" s="1"/>
      <c r="E106" s="1"/>
      <c r="F106" s="1"/>
      <c r="G106" s="1"/>
      <c r="H106" s="1"/>
      <c r="I106" s="2"/>
      <c r="J106" s="63"/>
      <c r="K106" s="63"/>
      <c r="L106" s="63"/>
    </row>
    <row r="107" spans="3:12" ht="15.75" customHeight="1">
      <c r="C107" s="1"/>
      <c r="D107" s="1"/>
      <c r="E107" s="1"/>
      <c r="F107" s="1"/>
      <c r="G107" s="1"/>
      <c r="H107" s="1"/>
      <c r="I107" s="2"/>
      <c r="J107" s="63"/>
      <c r="K107" s="63"/>
      <c r="L107" s="63"/>
    </row>
    <row r="108" spans="3:12" ht="15.75" customHeight="1">
      <c r="C108" s="1"/>
      <c r="D108" s="1"/>
      <c r="E108" s="1"/>
      <c r="F108" s="1"/>
      <c r="G108" s="1"/>
      <c r="H108" s="1"/>
      <c r="I108" s="2"/>
      <c r="J108" s="63"/>
      <c r="K108" s="63"/>
      <c r="L108" s="63"/>
    </row>
    <row r="109" spans="3:12" ht="15.75" customHeight="1">
      <c r="C109" s="1"/>
      <c r="D109" s="1"/>
      <c r="E109" s="1"/>
      <c r="F109" s="1"/>
      <c r="G109" s="1"/>
      <c r="H109" s="1"/>
      <c r="I109" s="2"/>
      <c r="J109" s="63"/>
      <c r="K109" s="63"/>
      <c r="L109" s="63"/>
    </row>
    <row r="110" spans="3:12" ht="15.75" customHeight="1">
      <c r="C110" s="1"/>
      <c r="D110" s="1"/>
      <c r="E110" s="1"/>
      <c r="F110" s="1"/>
      <c r="G110" s="1"/>
      <c r="H110" s="1"/>
      <c r="I110" s="2"/>
      <c r="J110" s="63"/>
      <c r="K110" s="63"/>
      <c r="L110" s="63"/>
    </row>
    <row r="111" spans="3:12" ht="15.75" customHeight="1">
      <c r="C111" s="1"/>
      <c r="D111" s="1"/>
      <c r="E111" s="1"/>
      <c r="F111" s="1"/>
      <c r="G111" s="1"/>
      <c r="H111" s="1"/>
      <c r="I111" s="2"/>
      <c r="J111" s="63"/>
      <c r="K111" s="63"/>
      <c r="L111" s="63"/>
    </row>
    <row r="112" spans="3:12" ht="15.75" customHeight="1">
      <c r="C112" s="1"/>
      <c r="D112" s="1"/>
      <c r="E112" s="1"/>
      <c r="F112" s="1"/>
      <c r="G112" s="1"/>
      <c r="H112" s="1"/>
      <c r="I112" s="2"/>
      <c r="J112" s="63"/>
      <c r="K112" s="63"/>
      <c r="L112" s="63"/>
    </row>
    <row r="113" spans="3:19" ht="15.75" customHeight="1">
      <c r="C113" s="1"/>
      <c r="D113" s="1"/>
      <c r="E113" s="1"/>
      <c r="F113" s="1"/>
      <c r="G113" s="1"/>
      <c r="H113" s="1"/>
      <c r="I113" s="2"/>
      <c r="J113" s="63"/>
      <c r="K113" s="63"/>
      <c r="L113" s="63"/>
    </row>
    <row r="114" spans="3:19" ht="15.75" customHeight="1">
      <c r="C114" s="1"/>
      <c r="D114" s="1"/>
      <c r="E114" s="1"/>
      <c r="F114" s="1"/>
      <c r="G114" s="1"/>
      <c r="H114" s="1"/>
      <c r="I114" s="2"/>
      <c r="J114" s="63"/>
      <c r="K114" s="63"/>
      <c r="L114" s="63"/>
    </row>
    <row r="115" spans="3:19" ht="15.75" customHeight="1">
      <c r="C115" s="1"/>
      <c r="D115" s="1"/>
      <c r="E115" s="1"/>
      <c r="F115" s="1"/>
      <c r="G115" s="1"/>
      <c r="H115" s="1"/>
      <c r="I115" s="2"/>
      <c r="J115" s="63"/>
      <c r="K115" s="63"/>
      <c r="L115" s="63"/>
    </row>
    <row r="116" spans="3:19" ht="15.75" customHeight="1">
      <c r="C116" s="1"/>
      <c r="D116" s="1"/>
      <c r="E116" s="1"/>
      <c r="F116" s="1"/>
      <c r="G116" s="1"/>
      <c r="H116" s="1"/>
      <c r="I116" s="2"/>
      <c r="J116" s="63"/>
      <c r="K116" s="63"/>
      <c r="L116" s="63"/>
    </row>
    <row r="117" spans="3:19" ht="15.75" customHeight="1">
      <c r="C117" s="1"/>
      <c r="I117" s="2"/>
      <c r="J117" s="63"/>
      <c r="K117" s="63"/>
      <c r="L117" s="63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63"/>
      <c r="K118" s="63"/>
      <c r="L118" s="63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63"/>
      <c r="K119" s="63"/>
      <c r="L119" s="63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63"/>
      <c r="K120" s="63"/>
      <c r="L120" s="63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63"/>
      <c r="K121" s="63"/>
      <c r="L121" s="63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63"/>
      <c r="K122" s="63"/>
      <c r="L122" s="63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63"/>
      <c r="K123" s="63"/>
      <c r="L123" s="63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63"/>
      <c r="K124" s="63"/>
      <c r="L124" s="63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63"/>
      <c r="K125" s="63"/>
      <c r="L125" s="63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63"/>
      <c r="K126" s="63"/>
      <c r="L126" s="63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63"/>
      <c r="K127" s="63"/>
      <c r="L127" s="63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63"/>
      <c r="K128" s="63"/>
      <c r="L128" s="63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63"/>
      <c r="K129" s="63"/>
      <c r="L129" s="63"/>
      <c r="M129" s="3"/>
      <c r="N129" s="3"/>
      <c r="O129" s="3"/>
      <c r="Q129" s="4"/>
      <c r="R129" s="5"/>
      <c r="S129" s="5"/>
    </row>
    <row r="130" spans="3:19" ht="15.75" customHeight="1"/>
    <row r="131" spans="3:19" ht="15.75" customHeight="1"/>
    <row r="132" spans="3:19" ht="15.75" customHeight="1"/>
    <row r="133" spans="3:19" ht="15.75" customHeight="1"/>
    <row r="134" spans="3:19" ht="15.75" customHeight="1"/>
    <row r="135" spans="3:19" ht="15.75" customHeight="1"/>
    <row r="136" spans="3:19" ht="15.75" customHeight="1">
      <c r="C136" s="1"/>
      <c r="I136" s="2"/>
      <c r="J136" s="63"/>
      <c r="K136" s="63"/>
      <c r="L136" s="63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63"/>
      <c r="K137" s="63"/>
      <c r="L137" s="63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63"/>
      <c r="K138" s="63"/>
      <c r="L138" s="63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63"/>
      <c r="K139" s="63"/>
      <c r="L139" s="63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63"/>
      <c r="K140" s="63"/>
      <c r="L140" s="63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63"/>
      <c r="K141" s="63"/>
      <c r="L141" s="63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63"/>
      <c r="K142" s="63"/>
      <c r="L142" s="63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63"/>
      <c r="K143" s="63"/>
      <c r="L143" s="63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63"/>
      <c r="K144" s="63"/>
      <c r="L144" s="63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63"/>
      <c r="K145" s="63"/>
      <c r="L145" s="63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63"/>
      <c r="K146" s="63"/>
      <c r="L146" s="63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63"/>
      <c r="K147" s="63"/>
      <c r="L147" s="63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63"/>
      <c r="K148" s="63"/>
      <c r="L148" s="63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63"/>
      <c r="K149" s="63"/>
      <c r="L149" s="63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63"/>
      <c r="K150" s="63"/>
      <c r="L150" s="63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63"/>
      <c r="K151" s="63"/>
      <c r="L151" s="63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63"/>
      <c r="K152" s="63"/>
      <c r="L152" s="63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63"/>
      <c r="K153" s="63"/>
      <c r="L153" s="63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63"/>
      <c r="K154" s="63"/>
      <c r="L154" s="63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63"/>
      <c r="K155" s="63"/>
      <c r="L155" s="63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63"/>
      <c r="K156" s="63"/>
      <c r="L156" s="63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63"/>
      <c r="K157" s="63"/>
      <c r="L157" s="63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63"/>
      <c r="K158" s="63"/>
      <c r="L158" s="63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63"/>
      <c r="K159" s="63"/>
      <c r="L159" s="63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63"/>
      <c r="K160" s="63"/>
      <c r="L160" s="63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63"/>
      <c r="K161" s="63"/>
      <c r="L161" s="63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63"/>
      <c r="K162" s="63"/>
      <c r="L162" s="63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63"/>
      <c r="K163" s="63"/>
      <c r="L163" s="63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63"/>
      <c r="K164" s="63"/>
      <c r="L164" s="63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63"/>
      <c r="K165" s="63"/>
      <c r="L165" s="63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63"/>
      <c r="K166" s="63"/>
      <c r="L166" s="63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63"/>
      <c r="K167" s="63"/>
      <c r="L167" s="63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63"/>
      <c r="K168" s="63"/>
      <c r="L168" s="63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63"/>
      <c r="K169" s="63"/>
      <c r="L169" s="63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63"/>
      <c r="K170" s="63"/>
      <c r="L170" s="63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63"/>
      <c r="K171" s="63"/>
      <c r="L171" s="63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63"/>
      <c r="K172" s="63"/>
      <c r="L172" s="63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63"/>
      <c r="K173" s="63"/>
      <c r="L173" s="63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63"/>
      <c r="K174" s="63"/>
      <c r="L174" s="63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63"/>
      <c r="K175" s="63"/>
      <c r="L175" s="63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63"/>
      <c r="K176" s="63"/>
      <c r="L176" s="63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63"/>
      <c r="K177" s="63"/>
      <c r="L177" s="63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63"/>
      <c r="K178" s="63"/>
      <c r="L178" s="63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63"/>
      <c r="K179" s="63"/>
      <c r="L179" s="63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63"/>
      <c r="K180" s="63"/>
      <c r="L180" s="63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63"/>
      <c r="K181" s="63"/>
      <c r="L181" s="63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63"/>
      <c r="K182" s="63"/>
      <c r="L182" s="63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63"/>
      <c r="K183" s="63"/>
      <c r="L183" s="63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63"/>
      <c r="K184" s="63"/>
      <c r="L184" s="63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63"/>
      <c r="K185" s="63"/>
      <c r="L185" s="63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63"/>
      <c r="K186" s="63"/>
      <c r="L186" s="63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63"/>
      <c r="K187" s="63"/>
      <c r="L187" s="63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63"/>
      <c r="K188" s="63"/>
      <c r="L188" s="63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63"/>
      <c r="K189" s="63"/>
      <c r="L189" s="63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63"/>
      <c r="K190" s="63"/>
      <c r="L190" s="63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63"/>
      <c r="K191" s="63"/>
      <c r="L191" s="63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63"/>
      <c r="K192" s="63"/>
      <c r="L192" s="63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63"/>
      <c r="K193" s="63"/>
      <c r="L193" s="63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63"/>
      <c r="K194" s="63"/>
      <c r="L194" s="63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63"/>
      <c r="K195" s="63"/>
      <c r="L195" s="63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63"/>
      <c r="K196" s="63"/>
      <c r="L196" s="63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63"/>
      <c r="K197" s="63"/>
      <c r="L197" s="63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63"/>
      <c r="K198" s="63"/>
      <c r="L198" s="63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63"/>
      <c r="K199" s="63"/>
      <c r="L199" s="63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63"/>
      <c r="K200" s="63"/>
      <c r="L200" s="63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63"/>
      <c r="K201" s="63"/>
      <c r="L201" s="63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63"/>
      <c r="K202" s="63"/>
      <c r="L202" s="63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63"/>
      <c r="K203" s="63"/>
      <c r="L203" s="63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63"/>
      <c r="K204" s="63"/>
      <c r="L204" s="63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63"/>
      <c r="K205" s="63"/>
      <c r="L205" s="63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63"/>
      <c r="K206" s="63"/>
      <c r="L206" s="63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63"/>
      <c r="K207" s="63"/>
      <c r="L207" s="63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63"/>
      <c r="K208" s="63"/>
      <c r="L208" s="63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63"/>
      <c r="K209" s="63"/>
      <c r="L209" s="63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63"/>
      <c r="K210" s="63"/>
      <c r="L210" s="63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63"/>
      <c r="K211" s="63"/>
      <c r="L211" s="63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63"/>
      <c r="K212" s="63"/>
      <c r="L212" s="63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63"/>
      <c r="K213" s="63"/>
      <c r="L213" s="63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63"/>
      <c r="K214" s="63"/>
      <c r="L214" s="63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63"/>
      <c r="K215" s="63"/>
      <c r="L215" s="63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63"/>
      <c r="K216" s="63"/>
      <c r="L216" s="63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63"/>
      <c r="K217" s="63"/>
      <c r="L217" s="63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63"/>
      <c r="K218" s="63"/>
      <c r="L218" s="63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63"/>
      <c r="K219" s="63"/>
      <c r="L219" s="63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63"/>
      <c r="K220" s="63"/>
      <c r="L220" s="63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63"/>
      <c r="K221" s="63"/>
      <c r="L221" s="63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63"/>
      <c r="K222" s="63"/>
      <c r="L222" s="63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63"/>
      <c r="K223" s="63"/>
      <c r="L223" s="63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63"/>
      <c r="K224" s="63"/>
      <c r="L224" s="63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63"/>
      <c r="K225" s="63"/>
      <c r="L225" s="63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63"/>
      <c r="K226" s="63"/>
      <c r="L226" s="63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63"/>
      <c r="K227" s="63"/>
      <c r="L227" s="63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63"/>
      <c r="K228" s="63"/>
      <c r="L228" s="63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63"/>
      <c r="K229" s="63"/>
      <c r="L229" s="63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63"/>
      <c r="K230" s="63"/>
      <c r="L230" s="63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63"/>
      <c r="K231" s="63"/>
      <c r="L231" s="63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63"/>
      <c r="K232" s="63"/>
      <c r="L232" s="63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63"/>
      <c r="K233" s="63"/>
      <c r="L233" s="63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63"/>
      <c r="K234" s="63"/>
      <c r="L234" s="63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63"/>
      <c r="K235" s="63"/>
      <c r="L235" s="63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63"/>
      <c r="K236" s="63"/>
      <c r="L236" s="63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63"/>
      <c r="K237" s="63"/>
      <c r="L237" s="63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63"/>
      <c r="K238" s="63"/>
      <c r="L238" s="63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63"/>
      <c r="K239" s="63"/>
      <c r="L239" s="63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63"/>
      <c r="K240" s="63"/>
      <c r="L240" s="63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63"/>
      <c r="K241" s="63"/>
      <c r="L241" s="63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63"/>
      <c r="K242" s="63"/>
      <c r="L242" s="63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63"/>
      <c r="K243" s="63"/>
      <c r="L243" s="63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63"/>
      <c r="K244" s="63"/>
      <c r="L244" s="63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63"/>
      <c r="K245" s="63"/>
      <c r="L245" s="63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63"/>
      <c r="K246" s="63"/>
      <c r="L246" s="63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63"/>
      <c r="K247" s="63"/>
      <c r="L247" s="63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63"/>
      <c r="K248" s="63"/>
      <c r="L248" s="63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63"/>
      <c r="K249" s="63"/>
      <c r="L249" s="63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63"/>
      <c r="K250" s="63"/>
      <c r="L250" s="63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63"/>
      <c r="K251" s="63"/>
      <c r="L251" s="63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63"/>
      <c r="K252" s="63"/>
      <c r="L252" s="63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63"/>
      <c r="K253" s="63"/>
      <c r="L253" s="63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63"/>
      <c r="K254" s="63"/>
      <c r="L254" s="63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63"/>
      <c r="K255" s="63"/>
      <c r="L255" s="63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63"/>
      <c r="K256" s="63"/>
      <c r="L256" s="63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63"/>
      <c r="K257" s="63"/>
      <c r="L257" s="63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63"/>
      <c r="K258" s="63"/>
      <c r="L258" s="63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63"/>
      <c r="K259" s="63"/>
      <c r="L259" s="63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63"/>
      <c r="K260" s="63"/>
      <c r="L260" s="63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63"/>
      <c r="K261" s="63"/>
      <c r="L261" s="63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63"/>
      <c r="K262" s="63"/>
      <c r="L262" s="63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63"/>
      <c r="K263" s="63"/>
      <c r="L263" s="63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63"/>
      <c r="K264" s="63"/>
      <c r="L264" s="63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63"/>
      <c r="K265" s="63"/>
      <c r="L265" s="63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63"/>
      <c r="K266" s="63"/>
      <c r="L266" s="63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63"/>
      <c r="K267" s="63"/>
      <c r="L267" s="63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63"/>
      <c r="K268" s="63"/>
      <c r="L268" s="63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63"/>
      <c r="K269" s="63"/>
      <c r="L269" s="63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63"/>
      <c r="K270" s="63"/>
      <c r="L270" s="63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63"/>
      <c r="K271" s="63"/>
      <c r="L271" s="63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63"/>
      <c r="K272" s="63"/>
      <c r="L272" s="63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63"/>
      <c r="K273" s="63"/>
      <c r="L273" s="63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63"/>
      <c r="K274" s="63"/>
      <c r="L274" s="63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63"/>
      <c r="K275" s="63"/>
      <c r="L275" s="63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63"/>
      <c r="K276" s="63"/>
      <c r="L276" s="63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63"/>
      <c r="K277" s="63"/>
      <c r="L277" s="63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63"/>
      <c r="K278" s="63"/>
      <c r="L278" s="63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63"/>
      <c r="K279" s="63"/>
      <c r="L279" s="63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63"/>
      <c r="K280" s="63"/>
      <c r="L280" s="63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63"/>
      <c r="K281" s="63"/>
      <c r="L281" s="63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63"/>
      <c r="K282" s="63"/>
      <c r="L282" s="63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63"/>
      <c r="K283" s="63"/>
      <c r="L283" s="63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63"/>
      <c r="K284" s="63"/>
      <c r="L284" s="63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63"/>
      <c r="K285" s="63"/>
      <c r="L285" s="63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63"/>
      <c r="K286" s="63"/>
      <c r="L286" s="63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63"/>
      <c r="K287" s="63"/>
      <c r="L287" s="63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63"/>
      <c r="K288" s="63"/>
      <c r="L288" s="63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63"/>
      <c r="K289" s="63"/>
      <c r="L289" s="63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63"/>
      <c r="K290" s="63"/>
      <c r="L290" s="63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63"/>
      <c r="K291" s="63"/>
      <c r="L291" s="63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63"/>
      <c r="K292" s="63"/>
      <c r="L292" s="63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63"/>
      <c r="K293" s="63"/>
      <c r="L293" s="63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63"/>
      <c r="K294" s="63"/>
      <c r="L294" s="63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63"/>
      <c r="K295" s="63"/>
      <c r="L295" s="63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63"/>
      <c r="K296" s="63"/>
      <c r="L296" s="63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63"/>
      <c r="K297" s="63"/>
      <c r="L297" s="63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63"/>
      <c r="K298" s="63"/>
      <c r="L298" s="63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63"/>
      <c r="K299" s="63"/>
      <c r="L299" s="63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63"/>
      <c r="K300" s="63"/>
      <c r="L300" s="63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63"/>
      <c r="K301" s="63"/>
      <c r="L301" s="63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63"/>
      <c r="K302" s="63"/>
      <c r="L302" s="63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63"/>
      <c r="K303" s="63"/>
      <c r="L303" s="63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63"/>
      <c r="K304" s="63"/>
      <c r="L304" s="63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63"/>
      <c r="K305" s="63"/>
      <c r="L305" s="63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63"/>
      <c r="K306" s="63"/>
      <c r="L306" s="63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63"/>
      <c r="K307" s="63"/>
      <c r="L307" s="63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63"/>
      <c r="K308" s="63"/>
      <c r="L308" s="63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63"/>
      <c r="K309" s="63"/>
      <c r="L309" s="63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63"/>
      <c r="K310" s="63"/>
      <c r="L310" s="63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63"/>
      <c r="K311" s="63"/>
      <c r="L311" s="63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63"/>
      <c r="K312" s="63"/>
      <c r="L312" s="63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63"/>
      <c r="K313" s="63"/>
      <c r="L313" s="63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63"/>
      <c r="K314" s="63"/>
      <c r="L314" s="63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63"/>
      <c r="K315" s="63"/>
      <c r="L315" s="63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63"/>
      <c r="K316" s="63"/>
      <c r="L316" s="63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63"/>
      <c r="K317" s="63"/>
      <c r="L317" s="63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63"/>
      <c r="K318" s="63"/>
      <c r="L318" s="63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63"/>
      <c r="K319" s="63"/>
      <c r="L319" s="63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63"/>
      <c r="K320" s="63"/>
      <c r="L320" s="63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63"/>
      <c r="K321" s="63"/>
      <c r="L321" s="63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63"/>
      <c r="K322" s="63"/>
      <c r="L322" s="63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63"/>
      <c r="K323" s="63"/>
      <c r="L323" s="63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63"/>
      <c r="K324" s="63"/>
      <c r="L324" s="63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63"/>
      <c r="K325" s="63"/>
      <c r="L325" s="63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63"/>
      <c r="K326" s="63"/>
      <c r="L326" s="63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63"/>
      <c r="K327" s="63"/>
      <c r="L327" s="63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63"/>
      <c r="K328" s="63"/>
      <c r="L328" s="63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63"/>
      <c r="K329" s="63"/>
      <c r="L329" s="63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63"/>
      <c r="K330" s="63"/>
      <c r="L330" s="63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63"/>
      <c r="K331" s="63"/>
      <c r="L331" s="63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63"/>
      <c r="K332" s="63"/>
      <c r="L332" s="63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63"/>
      <c r="K333" s="63"/>
      <c r="L333" s="63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63"/>
      <c r="K334" s="63"/>
      <c r="L334" s="63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63"/>
      <c r="K335" s="63"/>
      <c r="L335" s="63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63"/>
      <c r="K336" s="63"/>
      <c r="L336" s="63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63"/>
      <c r="K337" s="63"/>
      <c r="L337" s="63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63"/>
      <c r="K338" s="63"/>
      <c r="L338" s="63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63"/>
      <c r="K339" s="63"/>
      <c r="L339" s="63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63"/>
      <c r="K340" s="63"/>
      <c r="L340" s="63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63"/>
      <c r="K341" s="63"/>
      <c r="L341" s="63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63"/>
      <c r="K342" s="63"/>
      <c r="L342" s="63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63"/>
      <c r="K343" s="63"/>
      <c r="L343" s="63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63"/>
      <c r="K344" s="63"/>
      <c r="L344" s="63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63"/>
      <c r="K345" s="63"/>
      <c r="L345" s="63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63"/>
      <c r="K346" s="63"/>
      <c r="L346" s="63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63"/>
      <c r="K347" s="63"/>
      <c r="L347" s="63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63"/>
      <c r="K348" s="63"/>
      <c r="L348" s="63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63"/>
      <c r="K349" s="63"/>
      <c r="L349" s="63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63"/>
      <c r="K350" s="63"/>
      <c r="L350" s="63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63"/>
      <c r="K351" s="63"/>
      <c r="L351" s="63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63"/>
      <c r="K352" s="63"/>
      <c r="L352" s="63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63"/>
      <c r="K353" s="63"/>
      <c r="L353" s="63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63"/>
      <c r="K354" s="63"/>
      <c r="L354" s="63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63"/>
      <c r="K355" s="63"/>
      <c r="L355" s="63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63"/>
      <c r="K356" s="63"/>
      <c r="L356" s="63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63"/>
      <c r="K357" s="63"/>
      <c r="L357" s="63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63"/>
      <c r="K358" s="63"/>
      <c r="L358" s="63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63"/>
      <c r="K359" s="63"/>
      <c r="L359" s="63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63"/>
      <c r="K360" s="63"/>
      <c r="L360" s="63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63"/>
      <c r="K361" s="63"/>
      <c r="L361" s="63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63"/>
      <c r="K362" s="63"/>
      <c r="L362" s="63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63"/>
      <c r="K363" s="63"/>
      <c r="L363" s="63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63"/>
      <c r="K364" s="63"/>
      <c r="L364" s="63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63"/>
      <c r="K365" s="63"/>
      <c r="L365" s="63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63"/>
      <c r="K366" s="63"/>
      <c r="L366" s="63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63"/>
      <c r="K367" s="63"/>
      <c r="L367" s="63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63"/>
      <c r="K368" s="63"/>
      <c r="L368" s="63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63"/>
      <c r="K369" s="63"/>
      <c r="L369" s="63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63"/>
      <c r="K370" s="63"/>
      <c r="L370" s="63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63"/>
      <c r="K371" s="63"/>
      <c r="L371" s="63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63"/>
      <c r="K372" s="63"/>
      <c r="L372" s="63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63"/>
      <c r="K373" s="63"/>
      <c r="L373" s="63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63"/>
      <c r="K374" s="63"/>
      <c r="L374" s="63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63"/>
      <c r="K375" s="63"/>
      <c r="L375" s="63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63"/>
      <c r="K376" s="63"/>
      <c r="L376" s="63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63"/>
      <c r="K377" s="63"/>
      <c r="L377" s="63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63"/>
      <c r="K378" s="63"/>
      <c r="L378" s="63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63"/>
      <c r="K379" s="63"/>
      <c r="L379" s="63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63"/>
      <c r="K380" s="63"/>
      <c r="L380" s="63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63"/>
      <c r="K381" s="63"/>
      <c r="L381" s="63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63"/>
      <c r="K382" s="63"/>
      <c r="L382" s="63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63"/>
      <c r="K383" s="63"/>
      <c r="L383" s="63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63"/>
      <c r="K384" s="63"/>
      <c r="L384" s="63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63"/>
      <c r="K385" s="63"/>
      <c r="L385" s="63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63"/>
      <c r="K386" s="63"/>
      <c r="L386" s="63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63"/>
      <c r="K387" s="63"/>
      <c r="L387" s="63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63"/>
      <c r="K388" s="63"/>
      <c r="L388" s="63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63"/>
      <c r="K389" s="63"/>
      <c r="L389" s="63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63"/>
      <c r="K390" s="63"/>
      <c r="L390" s="63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63"/>
      <c r="K391" s="63"/>
      <c r="L391" s="63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63"/>
      <c r="K392" s="63"/>
      <c r="L392" s="63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63"/>
      <c r="K393" s="63"/>
      <c r="L393" s="63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63"/>
      <c r="K394" s="63"/>
      <c r="L394" s="63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63"/>
      <c r="K395" s="63"/>
      <c r="L395" s="63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63"/>
      <c r="K396" s="63"/>
      <c r="L396" s="63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63"/>
      <c r="K397" s="63"/>
      <c r="L397" s="63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63"/>
      <c r="K398" s="63"/>
      <c r="L398" s="63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63"/>
      <c r="K399" s="63"/>
      <c r="L399" s="63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63"/>
      <c r="K400" s="63"/>
      <c r="L400" s="63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63"/>
      <c r="K401" s="63"/>
      <c r="L401" s="63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63"/>
      <c r="K402" s="63"/>
      <c r="L402" s="63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63"/>
      <c r="K403" s="63"/>
      <c r="L403" s="63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63"/>
      <c r="K404" s="63"/>
      <c r="L404" s="63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63"/>
      <c r="K405" s="63"/>
      <c r="L405" s="63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63"/>
      <c r="K406" s="63"/>
      <c r="L406" s="63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63"/>
      <c r="K407" s="63"/>
      <c r="L407" s="63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63"/>
      <c r="K408" s="63"/>
      <c r="L408" s="63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63"/>
      <c r="K409" s="63"/>
      <c r="L409" s="63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63"/>
      <c r="K410" s="63"/>
      <c r="L410" s="63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63"/>
      <c r="K411" s="63"/>
      <c r="L411" s="63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63"/>
      <c r="K412" s="63"/>
      <c r="L412" s="63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63"/>
      <c r="K413" s="63"/>
      <c r="L413" s="63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63"/>
      <c r="K414" s="63"/>
      <c r="L414" s="63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63"/>
      <c r="K415" s="63"/>
      <c r="L415" s="63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63"/>
      <c r="K416" s="63"/>
      <c r="L416" s="63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63"/>
      <c r="K417" s="63"/>
      <c r="L417" s="63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63"/>
      <c r="K418" s="63"/>
      <c r="L418" s="63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63"/>
      <c r="K419" s="63"/>
      <c r="L419" s="63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63"/>
      <c r="K420" s="63"/>
      <c r="L420" s="63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63"/>
      <c r="K421" s="63"/>
      <c r="L421" s="63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63"/>
      <c r="K422" s="63"/>
      <c r="L422" s="63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63"/>
      <c r="K423" s="63"/>
      <c r="L423" s="63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63"/>
      <c r="K424" s="63"/>
      <c r="L424" s="63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63"/>
      <c r="K425" s="63"/>
      <c r="L425" s="63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63"/>
      <c r="K426" s="63"/>
      <c r="L426" s="63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63"/>
      <c r="K427" s="63"/>
      <c r="L427" s="63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63"/>
      <c r="K428" s="63"/>
      <c r="L428" s="63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63"/>
      <c r="K429" s="63"/>
      <c r="L429" s="63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63"/>
      <c r="K430" s="63"/>
      <c r="L430" s="63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63"/>
      <c r="K431" s="63"/>
      <c r="L431" s="63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63"/>
      <c r="K432" s="63"/>
      <c r="L432" s="63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63"/>
      <c r="K433" s="63"/>
      <c r="L433" s="63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63"/>
      <c r="K434" s="63"/>
      <c r="L434" s="63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63"/>
      <c r="K435" s="63"/>
      <c r="L435" s="63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63"/>
      <c r="K436" s="63"/>
      <c r="L436" s="63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63"/>
      <c r="K437" s="63"/>
      <c r="L437" s="63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63"/>
      <c r="K438" s="63"/>
      <c r="L438" s="63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63"/>
      <c r="K439" s="63"/>
      <c r="L439" s="63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63"/>
      <c r="K440" s="63"/>
      <c r="L440" s="63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63"/>
      <c r="K441" s="63"/>
      <c r="L441" s="63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63"/>
      <c r="K442" s="63"/>
      <c r="L442" s="63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63"/>
      <c r="K443" s="63"/>
      <c r="L443" s="63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63"/>
      <c r="K444" s="63"/>
      <c r="L444" s="63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63"/>
      <c r="K445" s="63"/>
      <c r="L445" s="63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63"/>
      <c r="K446" s="63"/>
      <c r="L446" s="63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63"/>
      <c r="K447" s="63"/>
      <c r="L447" s="63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63"/>
      <c r="K448" s="63"/>
      <c r="L448" s="63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63"/>
      <c r="K449" s="63"/>
      <c r="L449" s="63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63"/>
      <c r="K450" s="63"/>
      <c r="L450" s="63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63"/>
      <c r="K451" s="63"/>
      <c r="L451" s="63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63"/>
      <c r="K452" s="63"/>
      <c r="L452" s="63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63"/>
      <c r="K453" s="63"/>
      <c r="L453" s="63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63"/>
      <c r="K454" s="63"/>
      <c r="L454" s="63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63"/>
      <c r="K455" s="63"/>
      <c r="L455" s="63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63"/>
      <c r="K456" s="63"/>
      <c r="L456" s="63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63"/>
      <c r="K457" s="63"/>
      <c r="L457" s="63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63"/>
      <c r="K458" s="63"/>
      <c r="L458" s="63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63"/>
      <c r="K459" s="63"/>
      <c r="L459" s="63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63"/>
      <c r="K460" s="63"/>
      <c r="L460" s="63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63"/>
      <c r="K461" s="63"/>
      <c r="L461" s="63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63"/>
      <c r="K462" s="63"/>
      <c r="L462" s="63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63"/>
      <c r="K463" s="63"/>
      <c r="L463" s="63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63"/>
      <c r="K464" s="63"/>
      <c r="L464" s="63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63"/>
      <c r="K465" s="63"/>
      <c r="L465" s="63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63"/>
      <c r="K466" s="63"/>
      <c r="L466" s="63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63"/>
      <c r="K467" s="63"/>
      <c r="L467" s="63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63"/>
      <c r="K468" s="63"/>
      <c r="L468" s="63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63"/>
      <c r="K469" s="63"/>
      <c r="L469" s="63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63"/>
      <c r="K470" s="63"/>
      <c r="L470" s="63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63"/>
      <c r="K471" s="63"/>
      <c r="L471" s="63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63"/>
      <c r="K472" s="63"/>
      <c r="L472" s="63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63"/>
      <c r="K473" s="63"/>
      <c r="L473" s="63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63"/>
      <c r="K474" s="63"/>
      <c r="L474" s="63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63"/>
      <c r="K475" s="63"/>
      <c r="L475" s="63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63"/>
      <c r="K476" s="63"/>
      <c r="L476" s="63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63"/>
      <c r="K477" s="63"/>
      <c r="L477" s="63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63"/>
      <c r="K478" s="63"/>
      <c r="L478" s="63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63"/>
      <c r="K479" s="63"/>
      <c r="L479" s="63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63"/>
      <c r="K480" s="63"/>
      <c r="L480" s="63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63"/>
      <c r="K481" s="63"/>
      <c r="L481" s="63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63"/>
      <c r="K482" s="63"/>
      <c r="L482" s="63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63"/>
      <c r="K483" s="63"/>
      <c r="L483" s="63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63"/>
      <c r="K484" s="63"/>
      <c r="L484" s="63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63"/>
      <c r="K485" s="63"/>
      <c r="L485" s="63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63"/>
      <c r="K486" s="63"/>
      <c r="L486" s="63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63"/>
      <c r="K487" s="63"/>
      <c r="L487" s="63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63"/>
      <c r="K488" s="63"/>
      <c r="L488" s="63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63"/>
      <c r="K489" s="63"/>
      <c r="L489" s="63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63"/>
      <c r="K490" s="63"/>
      <c r="L490" s="63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63"/>
      <c r="K491" s="63"/>
      <c r="L491" s="63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63"/>
      <c r="K492" s="63"/>
      <c r="L492" s="63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63"/>
      <c r="K493" s="63"/>
      <c r="L493" s="63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63"/>
      <c r="K494" s="63"/>
      <c r="L494" s="63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63"/>
      <c r="K495" s="63"/>
      <c r="L495" s="63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63"/>
      <c r="K496" s="63"/>
      <c r="L496" s="63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63"/>
      <c r="K497" s="63"/>
      <c r="L497" s="63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63"/>
      <c r="K498" s="63"/>
      <c r="L498" s="63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63"/>
      <c r="K499" s="63"/>
      <c r="L499" s="63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63"/>
      <c r="K500" s="63"/>
      <c r="L500" s="63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63"/>
      <c r="K501" s="63"/>
      <c r="L501" s="63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63"/>
      <c r="K502" s="63"/>
      <c r="L502" s="63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63"/>
      <c r="K503" s="63"/>
      <c r="L503" s="63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63"/>
      <c r="K504" s="63"/>
      <c r="L504" s="63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63"/>
      <c r="K505" s="63"/>
      <c r="L505" s="63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63"/>
      <c r="K506" s="63"/>
      <c r="L506" s="63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63"/>
      <c r="K507" s="63"/>
      <c r="L507" s="63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63"/>
      <c r="K508" s="63"/>
      <c r="L508" s="63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63"/>
      <c r="K509" s="63"/>
      <c r="L509" s="63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63"/>
      <c r="K510" s="63"/>
      <c r="L510" s="63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63"/>
      <c r="K511" s="63"/>
      <c r="L511" s="63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63"/>
      <c r="K512" s="63"/>
      <c r="L512" s="63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63"/>
      <c r="K513" s="63"/>
      <c r="L513" s="63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63"/>
      <c r="K514" s="63"/>
      <c r="L514" s="63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63"/>
      <c r="K515" s="63"/>
      <c r="L515" s="63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63"/>
      <c r="K516" s="63"/>
      <c r="L516" s="63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63"/>
      <c r="K517" s="63"/>
      <c r="L517" s="63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63"/>
      <c r="K518" s="63"/>
      <c r="L518" s="63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63"/>
      <c r="K519" s="63"/>
      <c r="L519" s="63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63"/>
      <c r="K520" s="63"/>
      <c r="L520" s="63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63"/>
      <c r="K521" s="63"/>
      <c r="L521" s="63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63"/>
      <c r="K522" s="63"/>
      <c r="L522" s="63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63"/>
      <c r="K523" s="63"/>
      <c r="L523" s="63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63"/>
      <c r="K524" s="63"/>
      <c r="L524" s="63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63"/>
      <c r="K525" s="63"/>
      <c r="L525" s="63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63"/>
      <c r="K526" s="63"/>
      <c r="L526" s="63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63"/>
      <c r="K527" s="63"/>
      <c r="L527" s="63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63"/>
      <c r="K528" s="63"/>
      <c r="L528" s="63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63"/>
      <c r="K529" s="63"/>
      <c r="L529" s="63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63"/>
      <c r="K530" s="63"/>
      <c r="L530" s="63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63"/>
      <c r="K531" s="63"/>
      <c r="L531" s="63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63"/>
      <c r="K532" s="63"/>
      <c r="L532" s="63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63"/>
      <c r="K533" s="63"/>
      <c r="L533" s="63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63"/>
      <c r="K534" s="63"/>
      <c r="L534" s="63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63"/>
      <c r="K535" s="63"/>
      <c r="L535" s="63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63"/>
      <c r="K536" s="63"/>
      <c r="L536" s="63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63"/>
      <c r="K537" s="63"/>
      <c r="L537" s="63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63"/>
      <c r="K538" s="63"/>
      <c r="L538" s="63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63"/>
      <c r="K539" s="63"/>
      <c r="L539" s="63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63"/>
      <c r="K540" s="63"/>
      <c r="L540" s="63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63"/>
      <c r="K541" s="63"/>
      <c r="L541" s="63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63"/>
      <c r="K542" s="63"/>
      <c r="L542" s="63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63"/>
      <c r="K543" s="63"/>
      <c r="L543" s="63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63"/>
      <c r="K544" s="63"/>
      <c r="L544" s="63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63"/>
      <c r="K545" s="63"/>
      <c r="L545" s="63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63"/>
      <c r="K546" s="63"/>
      <c r="L546" s="63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63"/>
      <c r="K547" s="63"/>
      <c r="L547" s="63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63"/>
      <c r="K548" s="63"/>
      <c r="L548" s="63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63"/>
      <c r="K549" s="63"/>
      <c r="L549" s="63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63"/>
      <c r="K550" s="63"/>
      <c r="L550" s="63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63"/>
      <c r="K551" s="63"/>
      <c r="L551" s="63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63"/>
      <c r="K552" s="63"/>
      <c r="L552" s="63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63"/>
      <c r="K553" s="63"/>
      <c r="L553" s="63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63"/>
      <c r="K554" s="63"/>
      <c r="L554" s="63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63"/>
      <c r="K555" s="63"/>
      <c r="L555" s="63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63"/>
      <c r="K556" s="63"/>
      <c r="L556" s="63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63"/>
      <c r="K557" s="63"/>
      <c r="L557" s="63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63"/>
      <c r="K558" s="63"/>
      <c r="L558" s="63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63"/>
      <c r="K559" s="63"/>
      <c r="L559" s="63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63"/>
      <c r="K560" s="63"/>
      <c r="L560" s="63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63"/>
      <c r="K561" s="63"/>
      <c r="L561" s="63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63"/>
      <c r="K562" s="63"/>
      <c r="L562" s="63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63"/>
      <c r="K563" s="63"/>
      <c r="L563" s="63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63"/>
      <c r="K564" s="63"/>
      <c r="L564" s="63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63"/>
      <c r="K565" s="63"/>
      <c r="L565" s="63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63"/>
      <c r="K566" s="63"/>
      <c r="L566" s="63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63"/>
      <c r="K567" s="63"/>
      <c r="L567" s="63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63"/>
      <c r="K568" s="63"/>
      <c r="L568" s="63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63"/>
      <c r="K569" s="63"/>
      <c r="L569" s="63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63"/>
      <c r="K570" s="63"/>
      <c r="L570" s="63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63"/>
      <c r="K571" s="63"/>
      <c r="L571" s="63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63"/>
      <c r="K572" s="63"/>
      <c r="L572" s="63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63"/>
      <c r="K573" s="63"/>
      <c r="L573" s="63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63"/>
      <c r="K574" s="63"/>
      <c r="L574" s="63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63"/>
      <c r="K575" s="63"/>
      <c r="L575" s="63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63"/>
      <c r="K576" s="63"/>
      <c r="L576" s="63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63"/>
      <c r="K577" s="63"/>
      <c r="L577" s="63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63"/>
      <c r="K578" s="63"/>
      <c r="L578" s="63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63"/>
      <c r="K579" s="63"/>
      <c r="L579" s="63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63"/>
      <c r="K580" s="63"/>
      <c r="L580" s="63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63"/>
      <c r="K581" s="63"/>
      <c r="L581" s="63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63"/>
      <c r="K582" s="63"/>
      <c r="L582" s="63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63"/>
      <c r="K583" s="63"/>
      <c r="L583" s="63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63"/>
      <c r="K584" s="63"/>
      <c r="L584" s="63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63"/>
      <c r="K585" s="63"/>
      <c r="L585" s="63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63"/>
      <c r="K586" s="63"/>
      <c r="L586" s="63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63"/>
      <c r="K587" s="63"/>
      <c r="L587" s="63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63"/>
      <c r="K588" s="63"/>
      <c r="L588" s="63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63"/>
      <c r="K589" s="63"/>
      <c r="L589" s="63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63"/>
      <c r="K590" s="63"/>
      <c r="L590" s="63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63"/>
      <c r="K591" s="63"/>
      <c r="L591" s="63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63"/>
      <c r="K592" s="63"/>
      <c r="L592" s="63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63"/>
      <c r="K593" s="63"/>
      <c r="L593" s="63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63"/>
      <c r="K594" s="63"/>
      <c r="L594" s="63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63"/>
      <c r="K595" s="63"/>
      <c r="L595" s="63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63"/>
      <c r="K596" s="63"/>
      <c r="L596" s="63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63"/>
      <c r="K597" s="63"/>
      <c r="L597" s="63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63"/>
      <c r="K598" s="63"/>
      <c r="L598" s="63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63"/>
      <c r="K599" s="63"/>
      <c r="L599" s="63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63"/>
      <c r="K600" s="63"/>
      <c r="L600" s="63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63"/>
      <c r="K601" s="63"/>
      <c r="L601" s="63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63"/>
      <c r="K602" s="63"/>
      <c r="L602" s="63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63"/>
      <c r="K603" s="63"/>
      <c r="L603" s="63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63"/>
      <c r="K604" s="63"/>
      <c r="L604" s="63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63"/>
      <c r="K605" s="63"/>
      <c r="L605" s="63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63"/>
      <c r="K606" s="63"/>
      <c r="L606" s="63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63"/>
      <c r="K607" s="63"/>
      <c r="L607" s="63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63"/>
      <c r="K608" s="63"/>
      <c r="L608" s="63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63"/>
      <c r="K609" s="63"/>
      <c r="L609" s="63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63"/>
      <c r="K610" s="63"/>
      <c r="L610" s="63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63"/>
      <c r="K611" s="63"/>
      <c r="L611" s="63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63"/>
      <c r="K612" s="63"/>
      <c r="L612" s="63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63"/>
      <c r="K613" s="63"/>
      <c r="L613" s="63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63"/>
      <c r="K614" s="63"/>
      <c r="L614" s="63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63"/>
      <c r="K615" s="63"/>
      <c r="L615" s="63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63"/>
      <c r="K616" s="63"/>
      <c r="L616" s="63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63"/>
      <c r="K617" s="63"/>
      <c r="L617" s="63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63"/>
      <c r="K618" s="63"/>
      <c r="L618" s="63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63"/>
      <c r="K619" s="63"/>
      <c r="L619" s="63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63"/>
      <c r="K620" s="63"/>
      <c r="L620" s="63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63"/>
      <c r="K621" s="63"/>
      <c r="L621" s="63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63"/>
      <c r="K622" s="63"/>
      <c r="L622" s="63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63"/>
      <c r="K623" s="63"/>
      <c r="L623" s="63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63"/>
      <c r="K624" s="63"/>
      <c r="L624" s="63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63"/>
      <c r="K625" s="63"/>
      <c r="L625" s="63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63"/>
      <c r="K626" s="63"/>
      <c r="L626" s="63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63"/>
      <c r="K627" s="63"/>
      <c r="L627" s="63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63"/>
      <c r="K628" s="63"/>
      <c r="L628" s="63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63"/>
      <c r="K629" s="63"/>
      <c r="L629" s="63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63"/>
      <c r="K630" s="63"/>
      <c r="L630" s="63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63"/>
      <c r="K631" s="63"/>
      <c r="L631" s="63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63"/>
      <c r="K632" s="63"/>
      <c r="L632" s="63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63"/>
      <c r="K633" s="63"/>
      <c r="L633" s="63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63"/>
      <c r="K634" s="63"/>
      <c r="L634" s="63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63"/>
      <c r="K635" s="63"/>
      <c r="L635" s="63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63"/>
      <c r="K636" s="63"/>
      <c r="L636" s="63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63"/>
      <c r="K637" s="63"/>
      <c r="L637" s="63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63"/>
      <c r="K638" s="63"/>
      <c r="L638" s="63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63"/>
      <c r="K639" s="63"/>
      <c r="L639" s="63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63"/>
      <c r="K640" s="63"/>
      <c r="L640" s="63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63"/>
      <c r="K641" s="63"/>
      <c r="L641" s="63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63"/>
      <c r="K642" s="63"/>
      <c r="L642" s="63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63"/>
      <c r="K643" s="63"/>
      <c r="L643" s="63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63"/>
      <c r="K644" s="63"/>
      <c r="L644" s="63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63"/>
      <c r="K645" s="63"/>
      <c r="L645" s="63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63"/>
      <c r="K646" s="63"/>
      <c r="L646" s="63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63"/>
      <c r="K647" s="63"/>
      <c r="L647" s="63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63"/>
      <c r="K648" s="63"/>
      <c r="L648" s="63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63"/>
      <c r="K649" s="63"/>
      <c r="L649" s="63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63"/>
      <c r="K650" s="63"/>
      <c r="L650" s="63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63"/>
      <c r="K651" s="63"/>
      <c r="L651" s="63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63"/>
      <c r="K652" s="63"/>
      <c r="L652" s="63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63"/>
      <c r="K653" s="63"/>
      <c r="L653" s="63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63"/>
      <c r="K654" s="63"/>
      <c r="L654" s="63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63"/>
      <c r="K655" s="63"/>
      <c r="L655" s="63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63"/>
      <c r="K656" s="63"/>
      <c r="L656" s="63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63"/>
      <c r="K657" s="63"/>
      <c r="L657" s="63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63"/>
      <c r="K658" s="63"/>
      <c r="L658" s="63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63"/>
      <c r="K659" s="63"/>
      <c r="L659" s="63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63"/>
      <c r="K660" s="63"/>
      <c r="L660" s="63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63"/>
      <c r="K661" s="63"/>
      <c r="L661" s="63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63"/>
      <c r="K662" s="63"/>
      <c r="L662" s="63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63"/>
      <c r="K663" s="63"/>
      <c r="L663" s="63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63"/>
      <c r="K664" s="63"/>
      <c r="L664" s="63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63"/>
      <c r="K665" s="63"/>
      <c r="L665" s="63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63"/>
      <c r="K666" s="63"/>
      <c r="L666" s="63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63"/>
      <c r="K667" s="63"/>
      <c r="L667" s="63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63"/>
      <c r="K668" s="63"/>
      <c r="L668" s="63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63"/>
      <c r="K669" s="63"/>
      <c r="L669" s="63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63"/>
      <c r="K670" s="63"/>
      <c r="L670" s="63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63"/>
      <c r="K671" s="63"/>
      <c r="L671" s="63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63"/>
      <c r="K672" s="63"/>
      <c r="L672" s="63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63"/>
      <c r="K673" s="63"/>
      <c r="L673" s="63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63"/>
      <c r="K674" s="63"/>
      <c r="L674" s="63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63"/>
      <c r="K675" s="63"/>
      <c r="L675" s="63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63"/>
      <c r="K676" s="63"/>
      <c r="L676" s="63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63"/>
      <c r="K677" s="63"/>
      <c r="L677" s="63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63"/>
      <c r="K678" s="63"/>
      <c r="L678" s="63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63"/>
      <c r="K679" s="63"/>
      <c r="L679" s="63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63"/>
      <c r="K680" s="63"/>
      <c r="L680" s="63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63"/>
      <c r="K681" s="63"/>
      <c r="L681" s="63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63"/>
      <c r="K682" s="63"/>
      <c r="L682" s="63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63"/>
      <c r="K683" s="63"/>
      <c r="L683" s="63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63"/>
      <c r="K684" s="63"/>
      <c r="L684" s="63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63"/>
      <c r="K685" s="63"/>
      <c r="L685" s="63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63"/>
      <c r="K686" s="63"/>
      <c r="L686" s="63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63"/>
      <c r="K687" s="63"/>
      <c r="L687" s="63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63"/>
      <c r="K688" s="63"/>
      <c r="L688" s="63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63"/>
      <c r="K689" s="63"/>
      <c r="L689" s="63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63"/>
      <c r="K690" s="63"/>
      <c r="L690" s="63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63"/>
      <c r="K691" s="63"/>
      <c r="L691" s="63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63"/>
      <c r="K692" s="63"/>
      <c r="L692" s="63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63"/>
      <c r="K693" s="63"/>
      <c r="L693" s="63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63"/>
      <c r="K694" s="63"/>
      <c r="L694" s="63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63"/>
      <c r="K695" s="63"/>
      <c r="L695" s="63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63"/>
      <c r="K696" s="63"/>
      <c r="L696" s="63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63"/>
      <c r="K697" s="63"/>
      <c r="L697" s="63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63"/>
      <c r="K698" s="63"/>
      <c r="L698" s="63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63"/>
      <c r="K699" s="63"/>
      <c r="L699" s="63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63"/>
      <c r="K700" s="63"/>
      <c r="L700" s="63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63"/>
      <c r="K701" s="63"/>
      <c r="L701" s="63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63"/>
      <c r="K702" s="63"/>
      <c r="L702" s="63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63"/>
      <c r="K703" s="63"/>
      <c r="L703" s="63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63"/>
      <c r="K704" s="63"/>
      <c r="L704" s="63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63"/>
      <c r="K705" s="63"/>
      <c r="L705" s="63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63"/>
      <c r="K706" s="63"/>
      <c r="L706" s="63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63"/>
      <c r="K707" s="63"/>
      <c r="L707" s="63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63"/>
      <c r="K708" s="63"/>
      <c r="L708" s="63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63"/>
      <c r="K709" s="63"/>
      <c r="L709" s="63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63"/>
      <c r="K710" s="63"/>
      <c r="L710" s="63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63"/>
      <c r="K711" s="63"/>
      <c r="L711" s="63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63"/>
      <c r="K712" s="63"/>
      <c r="L712" s="63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63"/>
      <c r="K713" s="63"/>
      <c r="L713" s="63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63"/>
      <c r="K714" s="63"/>
      <c r="L714" s="63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63"/>
      <c r="K715" s="63"/>
      <c r="L715" s="63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63"/>
      <c r="K716" s="63"/>
      <c r="L716" s="63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63"/>
      <c r="K717" s="63"/>
      <c r="L717" s="63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63"/>
      <c r="K718" s="63"/>
      <c r="L718" s="63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63"/>
      <c r="K719" s="63"/>
      <c r="L719" s="63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63"/>
      <c r="K720" s="63"/>
      <c r="L720" s="63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63"/>
      <c r="K721" s="63"/>
      <c r="L721" s="63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63"/>
      <c r="K722" s="63"/>
      <c r="L722" s="63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63"/>
      <c r="K723" s="63"/>
      <c r="L723" s="63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63"/>
      <c r="K724" s="63"/>
      <c r="L724" s="63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63"/>
      <c r="K725" s="63"/>
      <c r="L725" s="63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63"/>
      <c r="K726" s="63"/>
      <c r="L726" s="63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63"/>
      <c r="K727" s="63"/>
      <c r="L727" s="63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63"/>
      <c r="K728" s="63"/>
      <c r="L728" s="63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63"/>
      <c r="K729" s="63"/>
      <c r="L729" s="63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63"/>
      <c r="K730" s="63"/>
      <c r="L730" s="63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63"/>
      <c r="K731" s="63"/>
      <c r="L731" s="63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63"/>
      <c r="K732" s="63"/>
      <c r="L732" s="63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63"/>
      <c r="K733" s="63"/>
      <c r="L733" s="63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63"/>
      <c r="K734" s="63"/>
      <c r="L734" s="63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63"/>
      <c r="K735" s="63"/>
      <c r="L735" s="63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63"/>
      <c r="K736" s="63"/>
      <c r="L736" s="63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63"/>
      <c r="K737" s="63"/>
      <c r="L737" s="63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63"/>
      <c r="K738" s="63"/>
      <c r="L738" s="63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63"/>
      <c r="K739" s="63"/>
      <c r="L739" s="63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63"/>
      <c r="K740" s="63"/>
      <c r="L740" s="63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63"/>
      <c r="K741" s="63"/>
      <c r="L741" s="63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63"/>
      <c r="K742" s="63"/>
      <c r="L742" s="63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63"/>
      <c r="K743" s="63"/>
      <c r="L743" s="63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63"/>
      <c r="K744" s="63"/>
      <c r="L744" s="63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63"/>
      <c r="K745" s="63"/>
      <c r="L745" s="63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63"/>
      <c r="K746" s="63"/>
      <c r="L746" s="63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63"/>
      <c r="K747" s="63"/>
      <c r="L747" s="63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63"/>
      <c r="K748" s="63"/>
      <c r="L748" s="63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63"/>
      <c r="K749" s="63"/>
      <c r="L749" s="63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63"/>
      <c r="K750" s="63"/>
      <c r="L750" s="63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63"/>
      <c r="K751" s="63"/>
      <c r="L751" s="63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63"/>
      <c r="K752" s="63"/>
      <c r="L752" s="63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63"/>
      <c r="K753" s="63"/>
      <c r="L753" s="63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63"/>
      <c r="K754" s="63"/>
      <c r="L754" s="63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63"/>
      <c r="K755" s="63"/>
      <c r="L755" s="63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63"/>
      <c r="K756" s="63"/>
      <c r="L756" s="63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63"/>
      <c r="K757" s="63"/>
      <c r="L757" s="63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63"/>
      <c r="K758" s="63"/>
      <c r="L758" s="63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63"/>
      <c r="K759" s="63"/>
      <c r="L759" s="63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63"/>
      <c r="K760" s="63"/>
      <c r="L760" s="63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63"/>
      <c r="K761" s="63"/>
      <c r="L761" s="63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63"/>
      <c r="K762" s="63"/>
      <c r="L762" s="63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63"/>
      <c r="K763" s="63"/>
      <c r="L763" s="63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63"/>
      <c r="K764" s="63"/>
      <c r="L764" s="63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63"/>
      <c r="K765" s="63"/>
      <c r="L765" s="63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63"/>
      <c r="K766" s="63"/>
      <c r="L766" s="63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63"/>
      <c r="K767" s="63"/>
      <c r="L767" s="63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63"/>
      <c r="K768" s="63"/>
      <c r="L768" s="63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63"/>
      <c r="K769" s="63"/>
      <c r="L769" s="63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63"/>
      <c r="K770" s="63"/>
      <c r="L770" s="63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63"/>
      <c r="K771" s="63"/>
      <c r="L771" s="63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63"/>
      <c r="K772" s="63"/>
      <c r="L772" s="63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63"/>
      <c r="K773" s="63"/>
      <c r="L773" s="63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63"/>
      <c r="K774" s="63"/>
      <c r="L774" s="63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63"/>
      <c r="K775" s="63"/>
      <c r="L775" s="63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63"/>
      <c r="K776" s="63"/>
      <c r="L776" s="63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63"/>
      <c r="K777" s="63"/>
      <c r="L777" s="63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63"/>
      <c r="K778" s="63"/>
      <c r="L778" s="63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63"/>
      <c r="K779" s="63"/>
      <c r="L779" s="63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63"/>
      <c r="K780" s="63"/>
      <c r="L780" s="63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63"/>
      <c r="K781" s="63"/>
      <c r="L781" s="63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63"/>
      <c r="K782" s="63"/>
      <c r="L782" s="63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63"/>
      <c r="K783" s="63"/>
      <c r="L783" s="63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63"/>
      <c r="K784" s="63"/>
      <c r="L784" s="63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63"/>
      <c r="K785" s="63"/>
      <c r="L785" s="63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63"/>
      <c r="K786" s="63"/>
      <c r="L786" s="63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63"/>
      <c r="K787" s="63"/>
      <c r="L787" s="63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63"/>
      <c r="K788" s="63"/>
      <c r="L788" s="63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63"/>
      <c r="K789" s="63"/>
      <c r="L789" s="63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63"/>
      <c r="K790" s="63"/>
      <c r="L790" s="63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63"/>
      <c r="K791" s="63"/>
      <c r="L791" s="63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63"/>
      <c r="K792" s="63"/>
      <c r="L792" s="63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63"/>
      <c r="K793" s="63"/>
      <c r="L793" s="63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63"/>
      <c r="K794" s="63"/>
      <c r="L794" s="63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63"/>
      <c r="K795" s="63"/>
      <c r="L795" s="63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63"/>
      <c r="K796" s="63"/>
      <c r="L796" s="63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63"/>
      <c r="K797" s="63"/>
      <c r="L797" s="63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63"/>
      <c r="K798" s="63"/>
      <c r="L798" s="63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63"/>
      <c r="K799" s="63"/>
      <c r="L799" s="63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63"/>
      <c r="K800" s="63"/>
      <c r="L800" s="63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63"/>
      <c r="K801" s="63"/>
      <c r="L801" s="63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63"/>
      <c r="K802" s="63"/>
      <c r="L802" s="63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63"/>
      <c r="K803" s="63"/>
      <c r="L803" s="63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63"/>
      <c r="K804" s="63"/>
      <c r="L804" s="63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63"/>
      <c r="K805" s="63"/>
      <c r="L805" s="63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63"/>
      <c r="K806" s="63"/>
      <c r="L806" s="63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63"/>
      <c r="K807" s="63"/>
      <c r="L807" s="63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63"/>
      <c r="K808" s="63"/>
      <c r="L808" s="63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63"/>
      <c r="K809" s="63"/>
      <c r="L809" s="63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63"/>
      <c r="K810" s="63"/>
      <c r="L810" s="63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63"/>
      <c r="K811" s="63"/>
      <c r="L811" s="63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63"/>
      <c r="K812" s="63"/>
      <c r="L812" s="63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63"/>
      <c r="K813" s="63"/>
      <c r="L813" s="63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63"/>
      <c r="K814" s="63"/>
      <c r="L814" s="63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63"/>
      <c r="K815" s="63"/>
      <c r="L815" s="63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63"/>
      <c r="K816" s="63"/>
      <c r="L816" s="63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63"/>
      <c r="K817" s="63"/>
      <c r="L817" s="63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63"/>
      <c r="K818" s="63"/>
      <c r="L818" s="63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63"/>
      <c r="K819" s="63"/>
      <c r="L819" s="63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63"/>
      <c r="K820" s="63"/>
      <c r="L820" s="63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63"/>
      <c r="K821" s="63"/>
      <c r="L821" s="63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63"/>
      <c r="K822" s="63"/>
      <c r="L822" s="63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63"/>
      <c r="K823" s="63"/>
      <c r="L823" s="63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63"/>
      <c r="K824" s="63"/>
      <c r="L824" s="63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63"/>
      <c r="K825" s="63"/>
      <c r="L825" s="63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63"/>
      <c r="K826" s="63"/>
      <c r="L826" s="63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63"/>
      <c r="K827" s="63"/>
      <c r="L827" s="63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63"/>
      <c r="K828" s="63"/>
      <c r="L828" s="63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63"/>
      <c r="K829" s="63"/>
      <c r="L829" s="63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63"/>
      <c r="K830" s="63"/>
      <c r="L830" s="63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63"/>
      <c r="K831" s="63"/>
      <c r="L831" s="63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63"/>
      <c r="K832" s="63"/>
      <c r="L832" s="63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63"/>
      <c r="K833" s="63"/>
      <c r="L833" s="63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63"/>
      <c r="K834" s="63"/>
      <c r="L834" s="63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63"/>
      <c r="K835" s="63"/>
      <c r="L835" s="63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63"/>
      <c r="K836" s="63"/>
      <c r="L836" s="63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63"/>
      <c r="K837" s="63"/>
      <c r="L837" s="63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63"/>
      <c r="K838" s="63"/>
      <c r="L838" s="63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63"/>
      <c r="K839" s="63"/>
      <c r="L839" s="63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63"/>
      <c r="K840" s="63"/>
      <c r="L840" s="63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63"/>
      <c r="K841" s="63"/>
      <c r="L841" s="63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63"/>
      <c r="K842" s="63"/>
      <c r="L842" s="63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63"/>
      <c r="K843" s="63"/>
      <c r="L843" s="63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63"/>
      <c r="K844" s="63"/>
      <c r="L844" s="63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63"/>
      <c r="K845" s="63"/>
      <c r="L845" s="63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63"/>
      <c r="K846" s="63"/>
      <c r="L846" s="63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63"/>
      <c r="K847" s="63"/>
      <c r="L847" s="63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63"/>
      <c r="K848" s="63"/>
      <c r="L848" s="63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63"/>
      <c r="K849" s="63"/>
      <c r="L849" s="63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63"/>
      <c r="K850" s="63"/>
      <c r="L850" s="63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63"/>
      <c r="K851" s="63"/>
      <c r="L851" s="63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63"/>
      <c r="K852" s="63"/>
      <c r="L852" s="63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63"/>
      <c r="K853" s="63"/>
      <c r="L853" s="63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63"/>
      <c r="K854" s="63"/>
      <c r="L854" s="63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63"/>
      <c r="K855" s="63"/>
      <c r="L855" s="63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63"/>
      <c r="K856" s="63"/>
      <c r="L856" s="63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63"/>
      <c r="K857" s="63"/>
      <c r="L857" s="63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63"/>
      <c r="K858" s="63"/>
      <c r="L858" s="63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63"/>
      <c r="K859" s="63"/>
      <c r="L859" s="63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63"/>
      <c r="K860" s="63"/>
      <c r="L860" s="63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63"/>
      <c r="K861" s="63"/>
      <c r="L861" s="63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63"/>
      <c r="K862" s="63"/>
      <c r="L862" s="63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63"/>
      <c r="K863" s="63"/>
      <c r="L863" s="63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63"/>
      <c r="K864" s="63"/>
      <c r="L864" s="63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63"/>
      <c r="K865" s="63"/>
      <c r="L865" s="63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63"/>
      <c r="K866" s="63"/>
      <c r="L866" s="63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63"/>
      <c r="K867" s="63"/>
      <c r="L867" s="63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63"/>
      <c r="K868" s="63"/>
      <c r="L868" s="63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63"/>
      <c r="K869" s="63"/>
      <c r="L869" s="63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63"/>
      <c r="K870" s="63"/>
      <c r="L870" s="63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63"/>
      <c r="K871" s="63"/>
      <c r="L871" s="63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63"/>
      <c r="K872" s="63"/>
      <c r="L872" s="63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63"/>
      <c r="K873" s="63"/>
      <c r="L873" s="63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63"/>
      <c r="K874" s="63"/>
      <c r="L874" s="63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63"/>
      <c r="K875" s="63"/>
      <c r="L875" s="63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63"/>
      <c r="K876" s="63"/>
      <c r="L876" s="63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63"/>
      <c r="K877" s="63"/>
      <c r="L877" s="63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63"/>
      <c r="K878" s="63"/>
      <c r="L878" s="63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63"/>
      <c r="K879" s="63"/>
      <c r="L879" s="63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63"/>
      <c r="K880" s="63"/>
      <c r="L880" s="63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63"/>
      <c r="K881" s="63"/>
      <c r="L881" s="63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63"/>
      <c r="K882" s="63"/>
      <c r="L882" s="63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63"/>
      <c r="K883" s="63"/>
      <c r="L883" s="63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63"/>
      <c r="K884" s="63"/>
      <c r="L884" s="63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63"/>
      <c r="K885" s="63"/>
      <c r="L885" s="63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63"/>
      <c r="K886" s="63"/>
      <c r="L886" s="63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63"/>
      <c r="K887" s="63"/>
      <c r="L887" s="63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63"/>
      <c r="K888" s="63"/>
      <c r="L888" s="63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63"/>
      <c r="K889" s="63"/>
      <c r="L889" s="63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63"/>
      <c r="K890" s="63"/>
      <c r="L890" s="63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63"/>
      <c r="K891" s="63"/>
      <c r="L891" s="63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63"/>
      <c r="K892" s="63"/>
      <c r="L892" s="63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63"/>
      <c r="K893" s="63"/>
      <c r="L893" s="63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63"/>
      <c r="K894" s="63"/>
      <c r="L894" s="63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63"/>
      <c r="K895" s="63"/>
      <c r="L895" s="63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63"/>
      <c r="K896" s="63"/>
      <c r="L896" s="63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63"/>
      <c r="K897" s="63"/>
      <c r="L897" s="63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63"/>
      <c r="K898" s="63"/>
      <c r="L898" s="63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63"/>
      <c r="K899" s="63"/>
      <c r="L899" s="63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63"/>
      <c r="K900" s="63"/>
      <c r="L900" s="63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63"/>
      <c r="K901" s="63"/>
      <c r="L901" s="63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63"/>
      <c r="K902" s="63"/>
      <c r="L902" s="63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63"/>
      <c r="K903" s="63"/>
      <c r="L903" s="63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63"/>
      <c r="K904" s="63"/>
      <c r="L904" s="63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63"/>
      <c r="K905" s="63"/>
      <c r="L905" s="63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63"/>
      <c r="K906" s="63"/>
      <c r="L906" s="63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63"/>
      <c r="K907" s="63"/>
      <c r="L907" s="63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63"/>
      <c r="K908" s="63"/>
      <c r="L908" s="63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63"/>
      <c r="K909" s="63"/>
      <c r="L909" s="63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63"/>
      <c r="K910" s="63"/>
      <c r="L910" s="63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63"/>
      <c r="K911" s="63"/>
      <c r="L911" s="63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63"/>
      <c r="K912" s="63"/>
      <c r="L912" s="63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63"/>
      <c r="K913" s="63"/>
      <c r="L913" s="63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63"/>
      <c r="K914" s="63"/>
      <c r="L914" s="63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63"/>
      <c r="K915" s="63"/>
      <c r="L915" s="63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63"/>
      <c r="K916" s="63"/>
      <c r="L916" s="63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63"/>
      <c r="K917" s="63"/>
      <c r="L917" s="63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63"/>
      <c r="K918" s="63"/>
      <c r="L918" s="63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63"/>
      <c r="K919" s="63"/>
      <c r="L919" s="63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63"/>
      <c r="K920" s="63"/>
      <c r="L920" s="63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63"/>
      <c r="K921" s="63"/>
      <c r="L921" s="63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63"/>
      <c r="K922" s="63"/>
      <c r="L922" s="63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63"/>
      <c r="K923" s="63"/>
      <c r="L923" s="63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63"/>
      <c r="K924" s="63"/>
      <c r="L924" s="63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63"/>
      <c r="K925" s="63"/>
      <c r="L925" s="63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63"/>
      <c r="K926" s="63"/>
      <c r="L926" s="63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63"/>
      <c r="K927" s="63"/>
      <c r="L927" s="63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63"/>
      <c r="K928" s="63"/>
      <c r="L928" s="63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63"/>
      <c r="K929" s="63"/>
      <c r="L929" s="63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63"/>
      <c r="K930" s="63"/>
      <c r="L930" s="63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63"/>
      <c r="K931" s="63"/>
      <c r="L931" s="63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63"/>
      <c r="K932" s="63"/>
      <c r="L932" s="63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63"/>
      <c r="K933" s="63"/>
      <c r="L933" s="63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63"/>
      <c r="K934" s="63"/>
      <c r="L934" s="63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63"/>
      <c r="K935" s="63"/>
      <c r="L935" s="63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63"/>
      <c r="K936" s="63"/>
      <c r="L936" s="63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63"/>
      <c r="K937" s="63"/>
      <c r="L937" s="63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63"/>
      <c r="K938" s="63"/>
      <c r="L938" s="63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63"/>
      <c r="K939" s="63"/>
      <c r="L939" s="63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63"/>
      <c r="K940" s="63"/>
      <c r="L940" s="63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63"/>
      <c r="K941" s="63"/>
      <c r="L941" s="63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63"/>
      <c r="K942" s="63"/>
      <c r="L942" s="63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63"/>
      <c r="K943" s="63"/>
      <c r="L943" s="63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63"/>
      <c r="K944" s="63"/>
      <c r="L944" s="63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63"/>
      <c r="K945" s="63"/>
      <c r="L945" s="63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63"/>
      <c r="K946" s="63"/>
      <c r="L946" s="63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63"/>
      <c r="K947" s="63"/>
      <c r="L947" s="63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63"/>
      <c r="K948" s="63"/>
      <c r="L948" s="63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63"/>
      <c r="K949" s="63"/>
      <c r="L949" s="63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63"/>
      <c r="K950" s="63"/>
      <c r="L950" s="63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63"/>
      <c r="K951" s="63"/>
      <c r="L951" s="63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63"/>
      <c r="K952" s="63"/>
      <c r="L952" s="63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63"/>
      <c r="K953" s="63"/>
      <c r="L953" s="63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63"/>
      <c r="K954" s="63"/>
      <c r="L954" s="63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63"/>
      <c r="K955" s="63"/>
      <c r="L955" s="63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63"/>
      <c r="K956" s="63"/>
      <c r="L956" s="63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63"/>
      <c r="K957" s="63"/>
      <c r="L957" s="63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63"/>
      <c r="K958" s="63"/>
      <c r="L958" s="63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63"/>
      <c r="K959" s="63"/>
      <c r="L959" s="63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63"/>
      <c r="K960" s="63"/>
      <c r="L960" s="63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63"/>
      <c r="K961" s="63"/>
      <c r="L961" s="63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63"/>
      <c r="K962" s="63"/>
      <c r="L962" s="63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63"/>
      <c r="K963" s="63"/>
      <c r="L963" s="63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63"/>
      <c r="K964" s="63"/>
      <c r="L964" s="63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63"/>
      <c r="K965" s="63"/>
      <c r="L965" s="63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63"/>
      <c r="K966" s="63"/>
      <c r="L966" s="63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63"/>
      <c r="K967" s="63"/>
      <c r="L967" s="63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63"/>
      <c r="K968" s="63"/>
      <c r="L968" s="63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63"/>
      <c r="K969" s="63"/>
      <c r="L969" s="63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63"/>
      <c r="K970" s="63"/>
      <c r="L970" s="63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63"/>
      <c r="K971" s="63"/>
      <c r="L971" s="63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63"/>
      <c r="K972" s="63"/>
      <c r="L972" s="63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63"/>
      <c r="K973" s="63"/>
      <c r="L973" s="63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63"/>
      <c r="K974" s="63"/>
      <c r="L974" s="63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63"/>
      <c r="K975" s="63"/>
      <c r="L975" s="63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63"/>
      <c r="K976" s="63"/>
      <c r="L976" s="63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63"/>
      <c r="K977" s="63"/>
      <c r="L977" s="63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63"/>
      <c r="K978" s="63"/>
      <c r="L978" s="63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63"/>
      <c r="K979" s="63"/>
      <c r="L979" s="63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63"/>
      <c r="K980" s="63"/>
      <c r="L980" s="63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63"/>
      <c r="K981" s="63"/>
      <c r="L981" s="63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63"/>
      <c r="K982" s="63"/>
      <c r="L982" s="63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63"/>
      <c r="K983" s="63"/>
      <c r="L983" s="63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63"/>
      <c r="K984" s="63"/>
      <c r="L984" s="63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63"/>
      <c r="K985" s="63"/>
      <c r="L985" s="63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63"/>
      <c r="K986" s="63"/>
      <c r="L986" s="63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63"/>
      <c r="K987" s="63"/>
      <c r="L987" s="63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63"/>
      <c r="K988" s="63"/>
      <c r="L988" s="63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63"/>
      <c r="K989" s="63"/>
      <c r="L989" s="63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63"/>
      <c r="K990" s="63"/>
      <c r="L990" s="63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63"/>
      <c r="K991" s="63"/>
      <c r="L991" s="63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63"/>
      <c r="K992" s="63"/>
      <c r="L992" s="63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63"/>
      <c r="K993" s="63"/>
      <c r="L993" s="63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63"/>
      <c r="K994" s="63"/>
      <c r="L994" s="63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63"/>
      <c r="K995" s="63"/>
      <c r="L995" s="63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63"/>
      <c r="K996" s="63"/>
      <c r="L996" s="63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63"/>
      <c r="K997" s="63"/>
      <c r="L997" s="63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63"/>
      <c r="K998" s="63"/>
      <c r="L998" s="63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63"/>
      <c r="K999" s="63"/>
      <c r="L999" s="63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63"/>
      <c r="K1000" s="63"/>
      <c r="L1000" s="63"/>
      <c r="M1000" s="3"/>
      <c r="N1000" s="3"/>
      <c r="O1000" s="3"/>
      <c r="Q1000" s="4"/>
      <c r="R1000" s="5"/>
      <c r="S1000" s="5"/>
    </row>
  </sheetData>
  <sheetProtection password="CC27" sheet="1" objects="1" scenarios="1"/>
  <mergeCells count="6">
    <mergeCell ref="D37:K37"/>
    <mergeCell ref="B1:S1"/>
    <mergeCell ref="M2:O2"/>
    <mergeCell ref="Q2:S2"/>
    <mergeCell ref="J3:L3"/>
    <mergeCell ref="D35:K35"/>
  </mergeCells>
  <pageMargins left="0.511811024" right="0.511811024" top="0.78740157499999996" bottom="0.7874015749999999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selection activeCell="E31" sqref="E31"/>
    </sheetView>
  </sheetViews>
  <sheetFormatPr defaultColWidth="14.42578125" defaultRowHeight="15" customHeight="1"/>
  <cols>
    <col min="1" max="1" width="2.7109375" customWidth="1"/>
    <col min="2" max="2" width="7.42578125" customWidth="1"/>
    <col min="3" max="3" width="22.7109375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38.85546875" customWidth="1"/>
    <col min="9" max="9" width="25.5703125" customWidth="1"/>
    <col min="10" max="12" width="9.140625" customWidth="1"/>
    <col min="13" max="13" width="16.42578125" customWidth="1"/>
    <col min="14" max="14" width="14.42578125" customWidth="1"/>
    <col min="15" max="15" width="13" customWidth="1"/>
    <col min="16" max="16" width="13.5703125" customWidth="1"/>
    <col min="17" max="17" width="16.28515625" customWidth="1"/>
    <col min="18" max="18" width="14.85546875" customWidth="1"/>
    <col min="19" max="19" width="18" customWidth="1"/>
    <col min="20" max="37" width="8.7109375" customWidth="1"/>
  </cols>
  <sheetData>
    <row r="1" spans="1:37" ht="18">
      <c r="A1" s="64"/>
      <c r="B1" s="312" t="s">
        <v>424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2.25" customHeight="1">
      <c r="A2" s="64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  <c r="M2" s="314" t="s">
        <v>1</v>
      </c>
      <c r="N2" s="308"/>
      <c r="O2" s="309"/>
      <c r="P2" s="65" t="s">
        <v>34</v>
      </c>
      <c r="Q2" s="315" t="s">
        <v>35</v>
      </c>
      <c r="R2" s="308"/>
      <c r="S2" s="309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5.5">
      <c r="B3" s="66" t="s">
        <v>36</v>
      </c>
      <c r="C3" s="171" t="s">
        <v>37</v>
      </c>
      <c r="D3" s="188" t="s">
        <v>38</v>
      </c>
      <c r="E3" s="66" t="s">
        <v>39</v>
      </c>
      <c r="F3" s="66" t="s">
        <v>40</v>
      </c>
      <c r="G3" s="138" t="s">
        <v>41</v>
      </c>
      <c r="H3" s="66" t="s">
        <v>42</v>
      </c>
      <c r="I3" s="66" t="s">
        <v>43</v>
      </c>
      <c r="J3" s="320" t="s">
        <v>44</v>
      </c>
      <c r="K3" s="308"/>
      <c r="L3" s="309"/>
      <c r="M3" s="140" t="s">
        <v>5</v>
      </c>
      <c r="N3" s="141" t="s">
        <v>6</v>
      </c>
      <c r="O3" s="142" t="s">
        <v>7</v>
      </c>
      <c r="P3" s="142" t="s">
        <v>5</v>
      </c>
      <c r="Q3" s="143" t="s">
        <v>9</v>
      </c>
      <c r="R3" s="144" t="s">
        <v>10</v>
      </c>
      <c r="S3" s="145" t="s">
        <v>46</v>
      </c>
    </row>
    <row r="4" spans="1:37" ht="23.25">
      <c r="A4" s="21"/>
      <c r="B4" s="75">
        <v>1</v>
      </c>
      <c r="C4" s="204" t="s">
        <v>425</v>
      </c>
      <c r="D4" s="205" t="s">
        <v>242</v>
      </c>
      <c r="E4" s="78" t="s">
        <v>919</v>
      </c>
      <c r="F4" s="206" t="s">
        <v>243</v>
      </c>
      <c r="G4" s="149" t="s">
        <v>426</v>
      </c>
      <c r="H4" s="82" t="str">
        <f t="shared" ref="H4:H30" si="0">UPPER(G4)</f>
        <v>PARTICIPAR DO 2º ENCONTRO BB PREVIDÊNCIA COM PATROCINADORES E INSTITUIDORES.</v>
      </c>
      <c r="I4" s="82" t="s">
        <v>72</v>
      </c>
      <c r="J4" s="83">
        <v>43617</v>
      </c>
      <c r="K4" s="84">
        <v>13</v>
      </c>
      <c r="L4" s="84">
        <v>14</v>
      </c>
      <c r="M4" s="274">
        <v>82</v>
      </c>
      <c r="N4" s="274">
        <v>84.7</v>
      </c>
      <c r="O4" s="274"/>
      <c r="P4" s="275"/>
      <c r="Q4" s="276">
        <v>0</v>
      </c>
      <c r="R4" s="277">
        <v>0</v>
      </c>
      <c r="S4" s="278">
        <f t="shared" ref="S4:S30" si="1">M4+N4+O4+P4+Q4+R4</f>
        <v>166.7</v>
      </c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ht="23.25">
      <c r="A5" s="21"/>
      <c r="B5" s="86">
        <v>2</v>
      </c>
      <c r="C5" s="199" t="s">
        <v>427</v>
      </c>
      <c r="D5" s="177" t="s">
        <v>167</v>
      </c>
      <c r="E5" s="89" t="s">
        <v>935</v>
      </c>
      <c r="F5" s="158" t="s">
        <v>101</v>
      </c>
      <c r="G5" s="102" t="s">
        <v>428</v>
      </c>
      <c r="H5" s="93" t="str">
        <f t="shared" si="0"/>
        <v>TREINAMENTO AGHUSE - PROJETO AGHUSE - MÓDULO ASSISTENCIAL ENFERMAGEM</v>
      </c>
      <c r="I5" s="93" t="s">
        <v>429</v>
      </c>
      <c r="J5" s="94">
        <v>43617</v>
      </c>
      <c r="K5" s="95">
        <v>4</v>
      </c>
      <c r="L5" s="95">
        <v>5</v>
      </c>
      <c r="M5" s="279">
        <v>72.709999999999994</v>
      </c>
      <c r="N5" s="279">
        <v>0</v>
      </c>
      <c r="O5" s="279"/>
      <c r="P5" s="280"/>
      <c r="Q5" s="281">
        <v>0</v>
      </c>
      <c r="R5" s="282">
        <v>0</v>
      </c>
      <c r="S5" s="283">
        <f t="shared" si="1"/>
        <v>72.709999999999994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23.25">
      <c r="A6" s="21"/>
      <c r="B6" s="86">
        <v>3</v>
      </c>
      <c r="C6" s="195" t="s">
        <v>430</v>
      </c>
      <c r="D6" s="177" t="s">
        <v>119</v>
      </c>
      <c r="E6" s="89" t="s">
        <v>913</v>
      </c>
      <c r="F6" s="151" t="s">
        <v>214</v>
      </c>
      <c r="G6" s="158" t="s">
        <v>431</v>
      </c>
      <c r="H6" s="93" t="str">
        <f t="shared" si="0"/>
        <v>TREINAMENTO INTERNAÇÃO ASSISTENCIAL - MÉDICO</v>
      </c>
      <c r="I6" s="93" t="s">
        <v>429</v>
      </c>
      <c r="J6" s="94">
        <v>43617</v>
      </c>
      <c r="K6" s="95">
        <v>5</v>
      </c>
      <c r="L6" s="95">
        <v>6</v>
      </c>
      <c r="M6" s="279">
        <v>64</v>
      </c>
      <c r="N6" s="279">
        <v>0</v>
      </c>
      <c r="O6" s="279"/>
      <c r="P6" s="280"/>
      <c r="Q6" s="281">
        <v>0</v>
      </c>
      <c r="R6" s="282">
        <v>0</v>
      </c>
      <c r="S6" s="283">
        <f t="shared" si="1"/>
        <v>64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>
      <c r="A7" s="21"/>
      <c r="B7" s="86">
        <v>4</v>
      </c>
      <c r="C7" s="195" t="s">
        <v>432</v>
      </c>
      <c r="D7" s="177" t="s">
        <v>48</v>
      </c>
      <c r="E7" s="89" t="s">
        <v>903</v>
      </c>
      <c r="F7" s="181" t="s">
        <v>433</v>
      </c>
      <c r="G7" s="95" t="s">
        <v>434</v>
      </c>
      <c r="H7" s="93" t="str">
        <f t="shared" si="0"/>
        <v>REUNIÃO DO CONSELHO DE ADMINISTRAÇÃO</v>
      </c>
      <c r="I7" s="95" t="s">
        <v>290</v>
      </c>
      <c r="J7" s="103">
        <v>43617</v>
      </c>
      <c r="K7" s="95">
        <v>24</v>
      </c>
      <c r="L7" s="95">
        <v>24</v>
      </c>
      <c r="M7" s="279"/>
      <c r="N7" s="279"/>
      <c r="O7" s="279"/>
      <c r="P7" s="280">
        <v>0</v>
      </c>
      <c r="Q7" s="281">
        <v>2328.37</v>
      </c>
      <c r="R7" s="282">
        <v>0</v>
      </c>
      <c r="S7" s="283">
        <f t="shared" si="1"/>
        <v>2328.37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>
      <c r="A8" s="21"/>
      <c r="B8" s="86">
        <v>5</v>
      </c>
      <c r="C8" s="199" t="s">
        <v>435</v>
      </c>
      <c r="D8" s="177" t="s">
        <v>355</v>
      </c>
      <c r="E8" s="89" t="s">
        <v>967</v>
      </c>
      <c r="F8" s="151" t="s">
        <v>356</v>
      </c>
      <c r="G8" s="158" t="s">
        <v>436</v>
      </c>
      <c r="H8" s="93" t="str">
        <f t="shared" si="0"/>
        <v>MINISTRAR TREINAMENTO AGHUSE - UNICAMP</v>
      </c>
      <c r="I8" s="93" t="s">
        <v>429</v>
      </c>
      <c r="J8" s="94">
        <v>43617</v>
      </c>
      <c r="K8" s="95">
        <v>17</v>
      </c>
      <c r="L8" s="95">
        <v>19</v>
      </c>
      <c r="M8" s="279"/>
      <c r="N8" s="279"/>
      <c r="O8" s="279"/>
      <c r="P8" s="280">
        <f>25.72+32</f>
        <v>57.72</v>
      </c>
      <c r="Q8" s="281">
        <v>0</v>
      </c>
      <c r="R8" s="282">
        <v>0</v>
      </c>
      <c r="S8" s="283">
        <f t="shared" si="1"/>
        <v>57.72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23.25">
      <c r="A9" s="21"/>
      <c r="B9" s="86">
        <v>6</v>
      </c>
      <c r="C9" s="199" t="s">
        <v>437</v>
      </c>
      <c r="D9" s="177" t="s">
        <v>147</v>
      </c>
      <c r="E9" s="89" t="s">
        <v>902</v>
      </c>
      <c r="F9" s="181" t="s">
        <v>433</v>
      </c>
      <c r="G9" s="102" t="s">
        <v>438</v>
      </c>
      <c r="H9" s="93" t="str">
        <f t="shared" si="0"/>
        <v>REUNIÃO DO CONSELHO DE ADMINISTRAÇÃO E TREINAMENTO DOS CONSELHEIROS.</v>
      </c>
      <c r="I9" s="95" t="s">
        <v>149</v>
      </c>
      <c r="J9" s="103">
        <v>43617</v>
      </c>
      <c r="K9" s="95">
        <v>24</v>
      </c>
      <c r="L9" s="95">
        <v>26</v>
      </c>
      <c r="M9" s="279"/>
      <c r="N9" s="279"/>
      <c r="O9" s="279"/>
      <c r="P9" s="280"/>
      <c r="Q9" s="281">
        <f>595.73+545.98+1287.98</f>
        <v>2429.69</v>
      </c>
      <c r="R9" s="282">
        <v>0</v>
      </c>
      <c r="S9" s="283">
        <f t="shared" si="1"/>
        <v>2429.69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23.25">
      <c r="A10" s="21"/>
      <c r="B10" s="86">
        <v>7</v>
      </c>
      <c r="C10" s="199" t="s">
        <v>439</v>
      </c>
      <c r="D10" s="177" t="s">
        <v>440</v>
      </c>
      <c r="E10" s="195" t="s">
        <v>968</v>
      </c>
      <c r="F10" s="207" t="s">
        <v>441</v>
      </c>
      <c r="G10" s="102" t="s">
        <v>442</v>
      </c>
      <c r="H10" s="93" t="str">
        <f t="shared" si="0"/>
        <v>PARTICIPAR DO GRAND ROUND - USO E ABUSO DE GH DA CRIANÇA E DO IDOSO.</v>
      </c>
      <c r="I10" s="95" t="s">
        <v>443</v>
      </c>
      <c r="J10" s="103">
        <v>43647</v>
      </c>
      <c r="K10" s="95">
        <v>23</v>
      </c>
      <c r="L10" s="95">
        <v>24</v>
      </c>
      <c r="M10" s="279"/>
      <c r="N10" s="279"/>
      <c r="O10" s="279"/>
      <c r="P10" s="280"/>
      <c r="Q10" s="281">
        <v>523.83000000000004</v>
      </c>
      <c r="R10" s="282">
        <v>255</v>
      </c>
      <c r="S10" s="283">
        <f t="shared" si="1"/>
        <v>778.83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>
      <c r="A11" s="21"/>
      <c r="B11" s="86">
        <v>8</v>
      </c>
      <c r="C11" s="195" t="s">
        <v>444</v>
      </c>
      <c r="D11" s="177" t="s">
        <v>445</v>
      </c>
      <c r="E11" s="89" t="s">
        <v>969</v>
      </c>
      <c r="F11" s="181" t="s">
        <v>433</v>
      </c>
      <c r="G11" s="95" t="s">
        <v>434</v>
      </c>
      <c r="H11" s="93" t="str">
        <f t="shared" si="0"/>
        <v>REUNIÃO DO CONSELHO DE ADMINISTRAÇÃO</v>
      </c>
      <c r="I11" s="95" t="s">
        <v>290</v>
      </c>
      <c r="J11" s="103">
        <v>43617</v>
      </c>
      <c r="K11" s="95">
        <v>23</v>
      </c>
      <c r="L11" s="95">
        <v>24</v>
      </c>
      <c r="M11" s="279"/>
      <c r="N11" s="279"/>
      <c r="O11" s="279"/>
      <c r="P11" s="280">
        <v>0</v>
      </c>
      <c r="Q11" s="281">
        <v>3104.37</v>
      </c>
      <c r="R11" s="282">
        <v>0</v>
      </c>
      <c r="S11" s="283">
        <f t="shared" si="1"/>
        <v>3104.37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26.25" customHeight="1">
      <c r="A12" s="21"/>
      <c r="B12" s="86">
        <v>9</v>
      </c>
      <c r="C12" s="195" t="s">
        <v>447</v>
      </c>
      <c r="D12" s="177" t="s">
        <v>192</v>
      </c>
      <c r="E12" s="89" t="s">
        <v>908</v>
      </c>
      <c r="F12" s="151" t="s">
        <v>448</v>
      </c>
      <c r="G12" s="93" t="s">
        <v>449</v>
      </c>
      <c r="H12" s="93" t="str">
        <f t="shared" si="0"/>
        <v>REUNIAO COM PARTES E REPRESENTANTES DO PROCESSO 15.2017.4.03.6100 9ª VF DE SÃO PAULO</v>
      </c>
      <c r="I12" s="95" t="s">
        <v>316</v>
      </c>
      <c r="J12" s="103">
        <v>43617</v>
      </c>
      <c r="K12" s="95">
        <v>12</v>
      </c>
      <c r="L12" s="95">
        <v>12</v>
      </c>
      <c r="M12" s="279"/>
      <c r="N12" s="279">
        <v>97</v>
      </c>
      <c r="O12" s="279"/>
      <c r="P12" s="280">
        <v>46.78</v>
      </c>
      <c r="Q12" s="281">
        <f t="shared" ref="Q12:Q13" si="2">1053.98+1055.85</f>
        <v>2109.83</v>
      </c>
      <c r="R12" s="282">
        <v>0</v>
      </c>
      <c r="S12" s="283">
        <f t="shared" si="1"/>
        <v>2253.61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23.25" customHeight="1">
      <c r="A13" s="21"/>
      <c r="B13" s="86">
        <v>10</v>
      </c>
      <c r="C13" s="195" t="s">
        <v>447</v>
      </c>
      <c r="D13" s="177" t="s">
        <v>196</v>
      </c>
      <c r="E13" s="89" t="s">
        <v>909</v>
      </c>
      <c r="F13" s="151" t="s">
        <v>450</v>
      </c>
      <c r="G13" s="93" t="s">
        <v>449</v>
      </c>
      <c r="H13" s="93" t="str">
        <f t="shared" si="0"/>
        <v>REUNIAO COM PARTES E REPRESENTANTES DO PROCESSO 15.2017.4.03.6100 9ª VF DE SÃO PAULO</v>
      </c>
      <c r="I13" s="95" t="s">
        <v>316</v>
      </c>
      <c r="J13" s="103">
        <v>43617</v>
      </c>
      <c r="K13" s="95">
        <v>12</v>
      </c>
      <c r="L13" s="95">
        <v>12</v>
      </c>
      <c r="M13" s="279">
        <v>88.39</v>
      </c>
      <c r="N13" s="279">
        <v>97</v>
      </c>
      <c r="O13" s="279"/>
      <c r="P13" s="280">
        <f>79+40.5</f>
        <v>119.5</v>
      </c>
      <c r="Q13" s="281">
        <f t="shared" si="2"/>
        <v>2109.83</v>
      </c>
      <c r="R13" s="282">
        <v>0</v>
      </c>
      <c r="S13" s="283">
        <f t="shared" si="1"/>
        <v>2414.7199999999998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>
      <c r="A14" s="21"/>
      <c r="B14" s="86">
        <v>11</v>
      </c>
      <c r="C14" s="195" t="s">
        <v>451</v>
      </c>
      <c r="D14" s="177" t="s">
        <v>84</v>
      </c>
      <c r="E14" s="89" t="s">
        <v>907</v>
      </c>
      <c r="F14" s="160" t="s">
        <v>452</v>
      </c>
      <c r="G14" s="92" t="s">
        <v>453</v>
      </c>
      <c r="H14" s="93" t="str">
        <f t="shared" si="0"/>
        <v>REUNIÃO NO MINISTÉRIO DO PLANEJAMENTO</v>
      </c>
      <c r="I14" s="95" t="s">
        <v>72</v>
      </c>
      <c r="J14" s="103">
        <v>43617</v>
      </c>
      <c r="K14" s="95">
        <v>18</v>
      </c>
      <c r="L14" s="95">
        <v>18</v>
      </c>
      <c r="M14" s="279"/>
      <c r="N14" s="279">
        <v>91.74</v>
      </c>
      <c r="O14" s="279"/>
      <c r="P14" s="280">
        <v>0</v>
      </c>
      <c r="Q14" s="281">
        <v>2590.37</v>
      </c>
      <c r="R14" s="282">
        <v>500</v>
      </c>
      <c r="S14" s="283">
        <f t="shared" si="1"/>
        <v>3182.1099999999997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>
      <c r="A15" s="21"/>
      <c r="B15" s="86">
        <v>12</v>
      </c>
      <c r="C15" s="195" t="s">
        <v>454</v>
      </c>
      <c r="D15" s="177" t="s">
        <v>246</v>
      </c>
      <c r="E15" s="89" t="s">
        <v>920</v>
      </c>
      <c r="F15" s="156" t="s">
        <v>455</v>
      </c>
      <c r="G15" s="92" t="s">
        <v>453</v>
      </c>
      <c r="H15" s="93" t="str">
        <f t="shared" si="0"/>
        <v>REUNIÃO NO MINISTÉRIO DO PLANEJAMENTO</v>
      </c>
      <c r="I15" s="95" t="s">
        <v>72</v>
      </c>
      <c r="J15" s="103">
        <v>43617</v>
      </c>
      <c r="K15" s="95">
        <v>18</v>
      </c>
      <c r="L15" s="95">
        <v>18</v>
      </c>
      <c r="M15" s="279">
        <v>35</v>
      </c>
      <c r="N15" s="279">
        <v>97</v>
      </c>
      <c r="O15" s="279"/>
      <c r="P15" s="280">
        <f>29</f>
        <v>29</v>
      </c>
      <c r="Q15" s="281">
        <f>1287.98+1344.39</f>
        <v>2632.37</v>
      </c>
      <c r="R15" s="282">
        <v>0</v>
      </c>
      <c r="S15" s="283">
        <f t="shared" si="1"/>
        <v>2793.37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>
      <c r="A16" s="21"/>
      <c r="B16" s="86">
        <v>13</v>
      </c>
      <c r="C16" s="195" t="s">
        <v>456</v>
      </c>
      <c r="D16" s="177" t="s">
        <v>242</v>
      </c>
      <c r="E16" s="89" t="s">
        <v>919</v>
      </c>
      <c r="F16" s="151" t="s">
        <v>243</v>
      </c>
      <c r="G16" s="92" t="s">
        <v>453</v>
      </c>
      <c r="H16" s="93" t="str">
        <f t="shared" si="0"/>
        <v>REUNIÃO NO MINISTÉRIO DO PLANEJAMENTO</v>
      </c>
      <c r="I16" s="95" t="s">
        <v>72</v>
      </c>
      <c r="J16" s="103">
        <v>43617</v>
      </c>
      <c r="K16" s="95">
        <v>18</v>
      </c>
      <c r="L16" s="95">
        <v>19</v>
      </c>
      <c r="M16" s="279">
        <v>175.54</v>
      </c>
      <c r="N16" s="279">
        <v>128.16999999999999</v>
      </c>
      <c r="O16" s="279"/>
      <c r="P16" s="280">
        <v>0</v>
      </c>
      <c r="Q16" s="281">
        <v>2370.4699999999998</v>
      </c>
      <c r="R16" s="282">
        <f>312.8+88.55</f>
        <v>401.35</v>
      </c>
      <c r="S16" s="283">
        <f t="shared" si="1"/>
        <v>3075.5299999999997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23.25">
      <c r="A17" s="21"/>
      <c r="B17" s="86">
        <v>14</v>
      </c>
      <c r="C17" s="195" t="s">
        <v>457</v>
      </c>
      <c r="D17" s="177" t="s">
        <v>458</v>
      </c>
      <c r="E17" s="89" t="s">
        <v>970</v>
      </c>
      <c r="F17" s="151" t="s">
        <v>459</v>
      </c>
      <c r="G17" s="102" t="s">
        <v>460</v>
      </c>
      <c r="H17" s="93" t="str">
        <f t="shared" si="0"/>
        <v>REUNIÃO NO MINISTÉRIO DO PLANEJAMENTO PARA ASSUNTOS DE FOLHA DE PAGAMENTO</v>
      </c>
      <c r="I17" s="95" t="s">
        <v>72</v>
      </c>
      <c r="J17" s="103">
        <v>43617</v>
      </c>
      <c r="K17" s="95">
        <v>18</v>
      </c>
      <c r="L17" s="95">
        <v>19</v>
      </c>
      <c r="M17" s="279">
        <v>0</v>
      </c>
      <c r="N17" s="279">
        <v>85.5</v>
      </c>
      <c r="O17" s="279"/>
      <c r="P17" s="280">
        <f>30+67.84</f>
        <v>97.84</v>
      </c>
      <c r="Q17" s="281">
        <f t="shared" ref="Q17:Q18" si="3">962.98+1082.49</f>
        <v>2045.47</v>
      </c>
      <c r="R17" s="282">
        <f>312.8+79.2</f>
        <v>392</v>
      </c>
      <c r="S17" s="283">
        <f t="shared" si="1"/>
        <v>2620.81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23.25">
      <c r="A18" s="21"/>
      <c r="B18" s="86">
        <v>15</v>
      </c>
      <c r="C18" s="195" t="s">
        <v>461</v>
      </c>
      <c r="D18" s="177" t="s">
        <v>462</v>
      </c>
      <c r="E18" s="89" t="s">
        <v>971</v>
      </c>
      <c r="F18" s="151" t="s">
        <v>463</v>
      </c>
      <c r="G18" s="102" t="s">
        <v>460</v>
      </c>
      <c r="H18" s="93" t="str">
        <f t="shared" si="0"/>
        <v>REUNIÃO NO MINISTÉRIO DO PLANEJAMENTO PARA ASSUNTOS DE FOLHA DE PAGAMENTO</v>
      </c>
      <c r="I18" s="95" t="s">
        <v>72</v>
      </c>
      <c r="J18" s="103">
        <v>43617</v>
      </c>
      <c r="K18" s="95">
        <v>18</v>
      </c>
      <c r="L18" s="95">
        <v>19</v>
      </c>
      <c r="M18" s="279">
        <v>0</v>
      </c>
      <c r="N18" s="279">
        <v>33.82</v>
      </c>
      <c r="O18" s="279"/>
      <c r="P18" s="280">
        <f>30.92+58+42</f>
        <v>130.92000000000002</v>
      </c>
      <c r="Q18" s="281">
        <f t="shared" si="3"/>
        <v>2045.47</v>
      </c>
      <c r="R18" s="282">
        <f>312.8+61.6</f>
        <v>374.40000000000003</v>
      </c>
      <c r="S18" s="283">
        <f t="shared" si="1"/>
        <v>2584.61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34.5">
      <c r="A19" s="21"/>
      <c r="B19" s="86">
        <v>16</v>
      </c>
      <c r="C19" s="195" t="s">
        <v>464</v>
      </c>
      <c r="D19" s="177" t="s">
        <v>465</v>
      </c>
      <c r="E19" s="89" t="s">
        <v>972</v>
      </c>
      <c r="F19" s="151" t="s">
        <v>466</v>
      </c>
      <c r="G19" s="102" t="s">
        <v>467</v>
      </c>
      <c r="H19" s="93" t="str">
        <f t="shared" si="0"/>
        <v>TREINAMENTO AGHUSE - MÓDULO EXAMES E IMPLANTAÇÃO AGHUSE - MÓDULO PATOLOGIA CIRÚRGICA</v>
      </c>
      <c r="I19" s="95" t="s">
        <v>72</v>
      </c>
      <c r="J19" s="103">
        <v>43617</v>
      </c>
      <c r="K19" s="95">
        <v>24</v>
      </c>
      <c r="L19" s="95">
        <v>26</v>
      </c>
      <c r="M19" s="279"/>
      <c r="N19" s="279"/>
      <c r="O19" s="279"/>
      <c r="P19" s="280">
        <v>0</v>
      </c>
      <c r="Q19" s="281">
        <f>1168.98+904.39</f>
        <v>2073.37</v>
      </c>
      <c r="R19" s="282">
        <v>0</v>
      </c>
      <c r="S19" s="283">
        <f t="shared" si="1"/>
        <v>2073.37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>
      <c r="A20" s="21"/>
      <c r="B20" s="86">
        <v>17</v>
      </c>
      <c r="C20" s="195" t="s">
        <v>468</v>
      </c>
      <c r="D20" s="177" t="s">
        <v>391</v>
      </c>
      <c r="E20" s="89" t="s">
        <v>973</v>
      </c>
      <c r="F20" s="156" t="s">
        <v>469</v>
      </c>
      <c r="G20" s="102" t="s">
        <v>470</v>
      </c>
      <c r="H20" s="93" t="str">
        <f t="shared" si="0"/>
        <v> PROJETO AGHUSE - EXÉRCITO BRASILEIRO</v>
      </c>
      <c r="I20" s="95" t="s">
        <v>72</v>
      </c>
      <c r="J20" s="103">
        <v>43618</v>
      </c>
      <c r="K20" s="95">
        <v>24</v>
      </c>
      <c r="L20" s="95">
        <v>26</v>
      </c>
      <c r="M20" s="279"/>
      <c r="N20" s="279"/>
      <c r="O20" s="279"/>
      <c r="P20" s="280">
        <v>0</v>
      </c>
      <c r="Q20" s="281">
        <f>1168.98+823.39</f>
        <v>1992.37</v>
      </c>
      <c r="R20" s="282">
        <v>0</v>
      </c>
      <c r="S20" s="283">
        <f t="shared" si="1"/>
        <v>1992.37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ht="15.75" customHeight="1">
      <c r="A21" s="21"/>
      <c r="B21" s="86">
        <v>18</v>
      </c>
      <c r="C21" s="195" t="s">
        <v>471</v>
      </c>
      <c r="D21" s="177" t="s">
        <v>472</v>
      </c>
      <c r="E21" s="89" t="s">
        <v>974</v>
      </c>
      <c r="F21" s="151" t="s">
        <v>473</v>
      </c>
      <c r="G21" s="102" t="s">
        <v>474</v>
      </c>
      <c r="H21" s="93" t="str">
        <f t="shared" si="0"/>
        <v>PARTICIPAR DO CURSO BAYLEY III</v>
      </c>
      <c r="I21" s="93" t="s">
        <v>316</v>
      </c>
      <c r="J21" s="103">
        <v>43617</v>
      </c>
      <c r="K21" s="95">
        <v>20</v>
      </c>
      <c r="L21" s="95">
        <v>22</v>
      </c>
      <c r="M21" s="279">
        <v>106.32</v>
      </c>
      <c r="N21" s="279">
        <v>186.45</v>
      </c>
      <c r="O21" s="279"/>
      <c r="P21" s="280">
        <v>0</v>
      </c>
      <c r="Q21" s="281">
        <f>815.98+694.85</f>
        <v>1510.83</v>
      </c>
      <c r="R21" s="282">
        <f>798+16</f>
        <v>814</v>
      </c>
      <c r="S21" s="283">
        <f t="shared" si="1"/>
        <v>2617.6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ht="15.75" customHeight="1">
      <c r="A22" s="21"/>
      <c r="B22" s="86">
        <v>19</v>
      </c>
      <c r="C22" s="195" t="s">
        <v>475</v>
      </c>
      <c r="D22" s="177" t="s">
        <v>355</v>
      </c>
      <c r="E22" s="89" t="s">
        <v>967</v>
      </c>
      <c r="F22" s="151" t="s">
        <v>356</v>
      </c>
      <c r="G22" s="102" t="s">
        <v>476</v>
      </c>
      <c r="H22" s="93" t="str">
        <f t="shared" si="0"/>
        <v>IMPLANTAÇÃO MÓDULO CCIH AGHUSE</v>
      </c>
      <c r="I22" s="95" t="s">
        <v>72</v>
      </c>
      <c r="J22" s="103">
        <v>43647</v>
      </c>
      <c r="K22" s="95">
        <v>2</v>
      </c>
      <c r="L22" s="95">
        <v>4</v>
      </c>
      <c r="M22" s="279">
        <v>0</v>
      </c>
      <c r="N22" s="279">
        <v>186.1</v>
      </c>
      <c r="O22" s="279"/>
      <c r="P22" s="280">
        <f>26+28.5+32.5+41+16+37+35</f>
        <v>216</v>
      </c>
      <c r="Q22" s="281">
        <f>829.98+592.39</f>
        <v>1422.37</v>
      </c>
      <c r="R22" s="282">
        <f>595.7+121.99</f>
        <v>717.69</v>
      </c>
      <c r="S22" s="283">
        <f t="shared" si="1"/>
        <v>2542.16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ht="33.75" customHeight="1">
      <c r="A23" s="21"/>
      <c r="B23" s="86">
        <v>20</v>
      </c>
      <c r="C23" s="195" t="s">
        <v>477</v>
      </c>
      <c r="D23" s="177" t="s">
        <v>478</v>
      </c>
      <c r="E23" s="89" t="s">
        <v>918</v>
      </c>
      <c r="F23" s="156" t="s">
        <v>479</v>
      </c>
      <c r="G23" s="208" t="s">
        <v>480</v>
      </c>
      <c r="H23" s="93" t="str">
        <f t="shared" si="0"/>
        <v>IMPLANTAÇÃO DO SISTEMA AGHUSE, MÓDULO CCIH NO HMAB (HOSPITAL MILITAR DE ÁREA URBANA). COMO CONSULTOR TÉCNICO DA ÁREA DE TI</v>
      </c>
      <c r="I23" s="95" t="s">
        <v>72</v>
      </c>
      <c r="J23" s="103">
        <v>43647</v>
      </c>
      <c r="K23" s="95">
        <v>2</v>
      </c>
      <c r="L23" s="95">
        <v>4</v>
      </c>
      <c r="M23" s="279"/>
      <c r="N23" s="279">
        <v>227.7</v>
      </c>
      <c r="O23" s="279"/>
      <c r="P23" s="280">
        <f>14.8+60+39.8+32.5+38+37+24</f>
        <v>246.1</v>
      </c>
      <c r="Q23" s="281">
        <f>829.98+592.39+1093.98</f>
        <v>2516.35</v>
      </c>
      <c r="R23" s="282">
        <f>595.7+99.99</f>
        <v>695.69</v>
      </c>
      <c r="S23" s="283">
        <f t="shared" si="1"/>
        <v>3685.8399999999997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ht="15.75" customHeight="1">
      <c r="A24" s="21"/>
      <c r="B24" s="86">
        <v>21</v>
      </c>
      <c r="C24" s="195" t="s">
        <v>481</v>
      </c>
      <c r="D24" s="177" t="s">
        <v>127</v>
      </c>
      <c r="E24" s="89" t="s">
        <v>937</v>
      </c>
      <c r="F24" s="151" t="s">
        <v>482</v>
      </c>
      <c r="G24" s="209" t="s">
        <v>483</v>
      </c>
      <c r="H24" s="93" t="str">
        <f t="shared" si="0"/>
        <v>REUNIÃO COM A EMPRESA CAPGEMINI BRASIL S/A E PARTICIPAÇÃO NO IT FÓRUM+.</v>
      </c>
      <c r="I24" s="93" t="s">
        <v>93</v>
      </c>
      <c r="J24" s="103">
        <v>43678</v>
      </c>
      <c r="K24" s="95">
        <v>13</v>
      </c>
      <c r="L24" s="95">
        <v>18</v>
      </c>
      <c r="M24" s="279">
        <v>78.03</v>
      </c>
      <c r="N24" s="279">
        <v>205.2</v>
      </c>
      <c r="O24" s="279"/>
      <c r="P24" s="280">
        <v>0</v>
      </c>
      <c r="Q24" s="281">
        <v>1268.96</v>
      </c>
      <c r="R24" s="282">
        <f>289.8+10</f>
        <v>299.8</v>
      </c>
      <c r="S24" s="283">
        <f t="shared" si="1"/>
        <v>1851.99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ht="15.75" customHeight="1">
      <c r="A25" s="21"/>
      <c r="B25" s="86">
        <v>22</v>
      </c>
      <c r="C25" s="195" t="s">
        <v>484</v>
      </c>
      <c r="D25" s="177" t="s">
        <v>485</v>
      </c>
      <c r="E25" s="89" t="s">
        <v>916</v>
      </c>
      <c r="F25" s="158" t="s">
        <v>225</v>
      </c>
      <c r="G25" s="102" t="s">
        <v>486</v>
      </c>
      <c r="H25" s="93" t="str">
        <f t="shared" si="0"/>
        <v>TREINAMENTO AGHUSE UNICAMP - CASDASTRO DE MEDICAMENTOS (MÓDULO FARMÁCIA)</v>
      </c>
      <c r="I25" s="93" t="s">
        <v>429</v>
      </c>
      <c r="J25" s="103">
        <v>43617</v>
      </c>
      <c r="K25" s="95">
        <v>24</v>
      </c>
      <c r="L25" s="95">
        <v>24</v>
      </c>
      <c r="M25" s="279">
        <v>45.39</v>
      </c>
      <c r="N25" s="279"/>
      <c r="O25" s="279"/>
      <c r="P25" s="280">
        <v>0</v>
      </c>
      <c r="Q25" s="281">
        <v>0</v>
      </c>
      <c r="R25" s="282">
        <v>0</v>
      </c>
      <c r="S25" s="283">
        <f t="shared" si="1"/>
        <v>45.39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ht="15.75" customHeight="1">
      <c r="A26" s="21"/>
      <c r="B26" s="86">
        <v>23</v>
      </c>
      <c r="C26" s="195" t="s">
        <v>487</v>
      </c>
      <c r="D26" s="177" t="s">
        <v>488</v>
      </c>
      <c r="E26" s="89" t="s">
        <v>975</v>
      </c>
      <c r="F26" s="151" t="s">
        <v>489</v>
      </c>
      <c r="G26" s="92" t="s">
        <v>490</v>
      </c>
      <c r="H26" s="93" t="str">
        <f t="shared" si="0"/>
        <v>PARTICIPAÇÃO NO 8º SIMPÓSIO DO SIADS</v>
      </c>
      <c r="I26" s="93" t="s">
        <v>72</v>
      </c>
      <c r="J26" s="103">
        <v>43678</v>
      </c>
      <c r="K26" s="95">
        <v>11</v>
      </c>
      <c r="L26" s="95">
        <v>12</v>
      </c>
      <c r="M26" s="279">
        <v>43.31</v>
      </c>
      <c r="N26" s="279">
        <v>190.32</v>
      </c>
      <c r="O26" s="279"/>
      <c r="P26" s="280">
        <v>0</v>
      </c>
      <c r="Q26" s="281">
        <f>329.39+528.98</f>
        <v>858.37</v>
      </c>
      <c r="R26" s="282">
        <v>237.6</v>
      </c>
      <c r="S26" s="283">
        <f t="shared" si="1"/>
        <v>1329.6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ht="15.75" customHeight="1">
      <c r="A27" s="21"/>
      <c r="B27" s="86">
        <v>24</v>
      </c>
      <c r="C27" s="195" t="s">
        <v>491</v>
      </c>
      <c r="D27" s="95" t="s">
        <v>492</v>
      </c>
      <c r="E27" s="199" t="s">
        <v>493</v>
      </c>
      <c r="F27" s="160" t="s">
        <v>441</v>
      </c>
      <c r="G27" s="88" t="s">
        <v>494</v>
      </c>
      <c r="H27" s="93" t="str">
        <f t="shared" si="0"/>
        <v>PALESTRAR NO EVENTO LIDERANDO A TRANSFORMAÇÃO DA CULTURA</v>
      </c>
      <c r="I27" s="93" t="s">
        <v>495</v>
      </c>
      <c r="J27" s="103">
        <v>43647</v>
      </c>
      <c r="K27" s="95">
        <v>9</v>
      </c>
      <c r="L27" s="95">
        <v>13</v>
      </c>
      <c r="M27" s="279">
        <v>0</v>
      </c>
      <c r="N27" s="279">
        <v>0</v>
      </c>
      <c r="O27" s="279"/>
      <c r="P27" s="280">
        <v>0</v>
      </c>
      <c r="Q27" s="281">
        <v>6438.18</v>
      </c>
      <c r="R27" s="282">
        <v>0</v>
      </c>
      <c r="S27" s="283">
        <f t="shared" si="1"/>
        <v>6438.18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7" ht="15.75" customHeight="1">
      <c r="A28" s="21"/>
      <c r="B28" s="86">
        <v>25</v>
      </c>
      <c r="C28" s="195" t="s">
        <v>496</v>
      </c>
      <c r="D28" s="95" t="s">
        <v>497</v>
      </c>
      <c r="E28" s="89" t="s">
        <v>976</v>
      </c>
      <c r="F28" s="160" t="s">
        <v>112</v>
      </c>
      <c r="G28" s="88" t="s">
        <v>498</v>
      </c>
      <c r="H28" s="93" t="str">
        <f t="shared" si="0"/>
        <v>REPRESENTAR A INSTITUIÇÃO COMO COORDENADORA DO CURSO DE MESTRADO PROFISSIONAL EM PESQUISA CLÍNICA, NO SEMINÁRIO DE MEIO TERMO DOS PROGRAMAS DE PÓS-GRADUAÇÃO DA ÁREA DE MEDICINA I, SERÁ REALIZADO NA CAPES</v>
      </c>
      <c r="I28" s="93" t="s">
        <v>72</v>
      </c>
      <c r="J28" s="103">
        <v>43678</v>
      </c>
      <c r="K28" s="95">
        <v>19</v>
      </c>
      <c r="L28" s="95">
        <v>21</v>
      </c>
      <c r="M28" s="279">
        <v>0</v>
      </c>
      <c r="N28" s="279">
        <v>0</v>
      </c>
      <c r="O28" s="279"/>
      <c r="P28" s="280">
        <f>15+50</f>
        <v>65</v>
      </c>
      <c r="Q28" s="281">
        <v>900.37</v>
      </c>
      <c r="R28" s="282">
        <v>625.6</v>
      </c>
      <c r="S28" s="283">
        <f t="shared" si="1"/>
        <v>1590.97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ht="15.75" customHeight="1">
      <c r="A29" s="21"/>
      <c r="B29" s="86">
        <v>26</v>
      </c>
      <c r="C29" s="195" t="s">
        <v>499</v>
      </c>
      <c r="D29" s="95" t="s">
        <v>500</v>
      </c>
      <c r="E29" s="89" t="s">
        <v>977</v>
      </c>
      <c r="F29" s="160" t="s">
        <v>501</v>
      </c>
      <c r="G29" s="88" t="s">
        <v>502</v>
      </c>
      <c r="H29" s="93" t="str">
        <f t="shared" si="0"/>
        <v>AUDIÊNCIA NA 6ª VARA CÍVEL ESPECIALIZADA EM FAZENDA PÚBLICA - PODER JUDICIÁRIO. </v>
      </c>
      <c r="I29" s="93" t="s">
        <v>174</v>
      </c>
      <c r="J29" s="103">
        <v>43617</v>
      </c>
      <c r="K29" s="95">
        <v>25</v>
      </c>
      <c r="L29" s="95">
        <v>26</v>
      </c>
      <c r="M29" s="279">
        <f>193.8+20</f>
        <v>213.8</v>
      </c>
      <c r="N29" s="279"/>
      <c r="O29" s="279"/>
      <c r="P29" s="280"/>
      <c r="Q29" s="281">
        <v>0</v>
      </c>
      <c r="R29" s="282">
        <v>216</v>
      </c>
      <c r="S29" s="283">
        <f t="shared" si="1"/>
        <v>429.8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ht="15.75" customHeight="1">
      <c r="A30" s="21"/>
      <c r="B30" s="106">
        <v>27</v>
      </c>
      <c r="C30" s="210" t="s">
        <v>503</v>
      </c>
      <c r="D30" s="115" t="s">
        <v>504</v>
      </c>
      <c r="E30" s="165" t="s">
        <v>978</v>
      </c>
      <c r="F30" s="211" t="s">
        <v>505</v>
      </c>
      <c r="G30" s="212" t="s">
        <v>506</v>
      </c>
      <c r="H30" s="113" t="str">
        <f t="shared" si="0"/>
        <v>AUDIÊNCIA JUDICIAL PROCESSO 90060546820188210022, DE INTERESSE DO HCPA</v>
      </c>
      <c r="I30" s="113" t="s">
        <v>174</v>
      </c>
      <c r="J30" s="114">
        <v>43617</v>
      </c>
      <c r="K30" s="115">
        <v>25</v>
      </c>
      <c r="L30" s="115">
        <v>26</v>
      </c>
      <c r="M30" s="284">
        <v>265.8</v>
      </c>
      <c r="N30" s="284"/>
      <c r="O30" s="284"/>
      <c r="P30" s="285"/>
      <c r="Q30" s="286">
        <v>0</v>
      </c>
      <c r="R30" s="287">
        <f>216+4.24</f>
        <v>220.24</v>
      </c>
      <c r="S30" s="288">
        <f t="shared" si="1"/>
        <v>486.04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ht="15.75" customHeight="1">
      <c r="A31" s="21"/>
      <c r="B31" s="34"/>
      <c r="C31" s="35"/>
      <c r="D31" s="36"/>
      <c r="E31" s="36"/>
      <c r="F31" s="36"/>
      <c r="G31" s="36"/>
      <c r="H31" s="36"/>
      <c r="I31" s="36"/>
      <c r="J31" s="120"/>
      <c r="K31" s="121"/>
      <c r="L31" s="121"/>
      <c r="M31" s="37"/>
      <c r="N31" s="37"/>
      <c r="O31" s="37"/>
      <c r="P31" s="22"/>
      <c r="Q31" s="38"/>
      <c r="R31" s="39"/>
      <c r="S31" s="40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7" ht="15.75" customHeight="1">
      <c r="A32" s="41"/>
      <c r="B32" s="122" t="s">
        <v>94</v>
      </c>
      <c r="C32" s="41"/>
      <c r="D32" s="123" t="s">
        <v>95</v>
      </c>
      <c r="E32" s="124"/>
      <c r="F32" s="41"/>
      <c r="G32" s="41"/>
      <c r="H32" s="41"/>
      <c r="I32" s="125"/>
      <c r="J32" s="41"/>
      <c r="K32" s="34"/>
      <c r="L32" s="41"/>
      <c r="M32" s="170">
        <f t="shared" ref="M32:R32" si="4">SUM(M4:M30)</f>
        <v>1270.29</v>
      </c>
      <c r="N32" s="170">
        <f t="shared" si="4"/>
        <v>1710.7</v>
      </c>
      <c r="O32" s="170">
        <f t="shared" si="4"/>
        <v>0</v>
      </c>
      <c r="P32" s="192">
        <f t="shared" si="4"/>
        <v>1008.86</v>
      </c>
      <c r="Q32" s="128">
        <f t="shared" si="4"/>
        <v>43271.240000000005</v>
      </c>
      <c r="R32" s="129">
        <f t="shared" si="4"/>
        <v>5749.3700000000008</v>
      </c>
      <c r="S32" s="46">
        <f>SUM(S4:S30)+P33</f>
        <v>53020.548599999995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</row>
    <row r="33" spans="1:37" ht="15.75" customHeight="1">
      <c r="A33" s="47"/>
      <c r="B33" s="47"/>
      <c r="C33" s="123" t="s">
        <v>95</v>
      </c>
      <c r="D33" s="310"/>
      <c r="E33" s="306"/>
      <c r="F33" s="306"/>
      <c r="G33" s="306"/>
      <c r="H33" s="306"/>
      <c r="I33" s="306"/>
      <c r="J33" s="306"/>
      <c r="K33" s="306"/>
      <c r="L33" s="47"/>
      <c r="M33" s="48"/>
      <c r="N33" s="48"/>
      <c r="O33" s="130" t="s">
        <v>94</v>
      </c>
      <c r="P33" s="22">
        <f>P32*1%</f>
        <v>10.0886</v>
      </c>
      <c r="Q33" s="47"/>
      <c r="R33" s="47"/>
      <c r="S33" s="52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spans="1:37" ht="15.75" customHeight="1">
      <c r="A34" s="47"/>
      <c r="B34" s="47"/>
      <c r="C34" s="47"/>
      <c r="D34" s="47"/>
      <c r="E34" s="47"/>
      <c r="F34" s="47"/>
      <c r="G34" s="47"/>
      <c r="H34" s="47"/>
      <c r="I34" s="50"/>
      <c r="J34" s="47"/>
      <c r="K34" s="47"/>
      <c r="L34" s="47"/>
      <c r="M34" s="48"/>
      <c r="N34" s="48"/>
      <c r="O34" s="48"/>
      <c r="P34" s="131">
        <f>P32+P33</f>
        <v>1018.9486000000001</v>
      </c>
      <c r="Q34" s="51"/>
      <c r="R34" s="52"/>
      <c r="S34" s="132" t="s">
        <v>96</v>
      </c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</row>
    <row r="35" spans="1:37" ht="15.75" customHeight="1">
      <c r="A35" s="47"/>
      <c r="B35" s="47"/>
      <c r="C35" s="124"/>
      <c r="D35" s="311"/>
      <c r="E35" s="306"/>
      <c r="F35" s="306"/>
      <c r="G35" s="306"/>
      <c r="H35" s="306"/>
      <c r="I35" s="306"/>
      <c r="J35" s="306"/>
      <c r="K35" s="306"/>
      <c r="L35" s="47"/>
      <c r="M35" s="48"/>
      <c r="N35" s="48"/>
      <c r="O35" s="48"/>
      <c r="P35" s="22"/>
      <c r="Q35" s="4" t="s">
        <v>26</v>
      </c>
      <c r="R35" s="133">
        <f>M32+N32+O32+P34+Q32+R32</f>
        <v>53020.548600000009</v>
      </c>
      <c r="S35" s="56">
        <f>S32-R35</f>
        <v>0</v>
      </c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</row>
    <row r="36" spans="1:37" ht="15.75" customHeight="1">
      <c r="C36" s="1"/>
      <c r="D36" s="1"/>
      <c r="E36" s="1"/>
      <c r="F36" s="1"/>
      <c r="G36" s="1"/>
      <c r="H36" s="1"/>
      <c r="I36" s="2"/>
      <c r="J36" s="63"/>
      <c r="K36" s="63"/>
      <c r="L36" s="63"/>
      <c r="M36" s="3"/>
      <c r="N36" s="3"/>
      <c r="O36" s="130" t="s">
        <v>94</v>
      </c>
      <c r="P36" s="22" t="s">
        <v>97</v>
      </c>
      <c r="Q36" s="4"/>
      <c r="R36" s="5"/>
      <c r="S36" s="5"/>
    </row>
    <row r="37" spans="1:37" ht="15.75" customHeight="1">
      <c r="C37" s="1"/>
      <c r="D37" s="1"/>
      <c r="E37" s="1"/>
      <c r="F37" s="1"/>
      <c r="G37" s="1"/>
      <c r="H37" s="1"/>
      <c r="I37" s="2"/>
      <c r="J37" s="63"/>
      <c r="K37" s="63"/>
      <c r="L37" s="63"/>
      <c r="M37" s="3"/>
      <c r="N37" s="3"/>
      <c r="O37" s="3"/>
      <c r="P37" s="22"/>
      <c r="Q37" s="4"/>
      <c r="R37" s="5"/>
      <c r="S37" s="5"/>
    </row>
    <row r="38" spans="1:37" ht="15.75" customHeight="1">
      <c r="C38" s="1"/>
      <c r="D38" s="1"/>
      <c r="E38" s="1"/>
      <c r="F38" s="1"/>
      <c r="G38" s="1"/>
      <c r="H38" s="1"/>
      <c r="I38" s="2"/>
      <c r="J38" s="63"/>
      <c r="K38" s="63"/>
      <c r="L38" s="63"/>
      <c r="M38" s="3"/>
      <c r="N38" s="3"/>
      <c r="O38" s="3"/>
      <c r="P38" s="22"/>
      <c r="Q38" s="4"/>
      <c r="R38" s="5"/>
      <c r="S38" s="5"/>
    </row>
    <row r="39" spans="1:37" ht="15.75" customHeight="1">
      <c r="C39" s="1"/>
      <c r="D39" s="1"/>
      <c r="E39" s="1"/>
      <c r="F39" s="1"/>
      <c r="G39" s="1"/>
      <c r="H39" s="1"/>
      <c r="I39" s="2"/>
      <c r="J39" s="63"/>
      <c r="K39" s="63"/>
      <c r="L39" s="63"/>
      <c r="M39" s="3"/>
      <c r="N39" s="3"/>
      <c r="O39" s="3"/>
      <c r="P39" s="22"/>
      <c r="Q39" s="4"/>
      <c r="R39" s="5"/>
      <c r="S39" s="5"/>
    </row>
    <row r="40" spans="1:37" ht="15.75" customHeight="1">
      <c r="C40" s="1"/>
      <c r="D40" s="1"/>
      <c r="E40" s="1"/>
      <c r="F40" s="1"/>
      <c r="G40" s="1"/>
      <c r="H40" s="1"/>
      <c r="I40" s="2"/>
      <c r="J40" s="63"/>
      <c r="K40" s="63"/>
      <c r="L40" s="63"/>
      <c r="M40" s="3"/>
      <c r="N40" s="3"/>
      <c r="O40" s="3"/>
      <c r="P40" s="22"/>
      <c r="Q40" s="4"/>
      <c r="R40" s="5"/>
      <c r="S40" s="5"/>
    </row>
    <row r="41" spans="1:37" ht="15.75" customHeight="1">
      <c r="C41" s="1"/>
      <c r="D41" s="1"/>
      <c r="E41" s="1"/>
      <c r="F41" s="1"/>
      <c r="G41" s="1"/>
      <c r="H41" s="1"/>
      <c r="I41" s="2"/>
      <c r="J41" s="63"/>
      <c r="K41" s="63"/>
      <c r="L41" s="63"/>
      <c r="M41" s="3"/>
      <c r="N41" s="3"/>
      <c r="O41" s="3"/>
      <c r="P41" s="22"/>
    </row>
    <row r="42" spans="1:37" ht="15.75" customHeight="1">
      <c r="C42" s="1"/>
      <c r="D42" s="1"/>
      <c r="E42" s="1"/>
      <c r="F42" s="1"/>
      <c r="G42" s="1"/>
      <c r="H42" s="1"/>
      <c r="I42" s="2"/>
      <c r="J42" s="63"/>
      <c r="K42" s="63"/>
      <c r="L42" s="63"/>
      <c r="M42" s="3"/>
      <c r="N42" s="3"/>
      <c r="O42" s="3"/>
      <c r="P42" s="22"/>
    </row>
    <row r="43" spans="1:37" ht="15.75" customHeight="1">
      <c r="C43" s="1"/>
      <c r="I43" s="2"/>
      <c r="J43" s="63"/>
      <c r="K43" s="63"/>
      <c r="L43" s="63"/>
      <c r="M43" s="3"/>
      <c r="N43" s="3"/>
      <c r="O43" s="3"/>
      <c r="P43" s="22"/>
    </row>
    <row r="44" spans="1:37" ht="15.75" customHeight="1">
      <c r="C44" s="1"/>
      <c r="D44" s="1"/>
      <c r="E44" s="1"/>
      <c r="F44" s="1"/>
      <c r="G44" s="1"/>
      <c r="H44" s="1"/>
      <c r="I44" s="2"/>
      <c r="J44" s="63"/>
      <c r="K44" s="63"/>
      <c r="L44" s="63"/>
      <c r="M44" s="3"/>
      <c r="N44" s="3"/>
      <c r="O44" s="3"/>
      <c r="P44" s="22"/>
    </row>
    <row r="45" spans="1:37" ht="15.75" customHeight="1">
      <c r="C45" s="1"/>
      <c r="D45" s="1"/>
      <c r="E45" s="1"/>
      <c r="F45" s="1"/>
      <c r="G45" s="1"/>
      <c r="H45" s="1"/>
      <c r="I45" s="2"/>
      <c r="J45" s="63"/>
      <c r="K45" s="63"/>
      <c r="L45" s="63"/>
      <c r="M45" s="3"/>
      <c r="N45" s="3"/>
      <c r="O45" s="3"/>
      <c r="P45" s="134"/>
    </row>
    <row r="46" spans="1:37" ht="15.75" customHeight="1">
      <c r="C46" s="1"/>
      <c r="D46" s="1"/>
      <c r="E46" s="1"/>
      <c r="F46" s="1"/>
      <c r="G46" s="1"/>
      <c r="H46" s="1"/>
      <c r="I46" s="2"/>
      <c r="J46" s="63"/>
      <c r="K46" s="63"/>
      <c r="L46" s="63"/>
      <c r="M46" s="3"/>
      <c r="N46" s="3"/>
      <c r="O46" s="3"/>
      <c r="P46" s="47"/>
    </row>
    <row r="47" spans="1:37" ht="15.75" customHeight="1">
      <c r="C47" s="1"/>
      <c r="D47" s="1"/>
      <c r="E47" s="1"/>
      <c r="F47" s="1"/>
      <c r="G47" s="1"/>
      <c r="H47" s="1"/>
      <c r="I47" s="2"/>
      <c r="J47" s="63"/>
      <c r="K47" s="63"/>
      <c r="L47" s="63"/>
      <c r="M47" s="3"/>
      <c r="N47" s="3"/>
      <c r="O47" s="3"/>
      <c r="P47" s="47"/>
    </row>
    <row r="48" spans="1:37" ht="15.75" customHeight="1">
      <c r="C48" s="1"/>
      <c r="D48" s="1"/>
      <c r="E48" s="1"/>
      <c r="F48" s="1"/>
      <c r="G48" s="1"/>
      <c r="H48" s="1"/>
      <c r="I48" s="2"/>
      <c r="J48" s="63"/>
      <c r="K48" s="63"/>
      <c r="L48" s="63"/>
      <c r="M48" s="3"/>
      <c r="N48" s="3"/>
      <c r="O48" s="3"/>
      <c r="P48" s="47"/>
    </row>
    <row r="49" spans="3:15" ht="15.75" customHeight="1">
      <c r="C49" s="1"/>
      <c r="D49" s="1"/>
      <c r="E49" s="1"/>
      <c r="F49" s="1"/>
      <c r="G49" s="1"/>
      <c r="H49" s="1"/>
      <c r="I49" s="2"/>
      <c r="J49" s="63"/>
      <c r="K49" s="63"/>
      <c r="L49" s="63"/>
      <c r="M49" s="3"/>
      <c r="N49" s="3"/>
      <c r="O49" s="3"/>
    </row>
    <row r="50" spans="3:15" ht="15.75" customHeight="1">
      <c r="C50" s="1"/>
      <c r="D50" s="1"/>
      <c r="E50" s="1"/>
      <c r="F50" s="1"/>
      <c r="G50" s="1"/>
      <c r="H50" s="1"/>
      <c r="I50" s="2"/>
      <c r="J50" s="63"/>
      <c r="K50" s="63"/>
      <c r="L50" s="63"/>
      <c r="M50" s="3"/>
      <c r="N50" s="3"/>
      <c r="O50" s="3"/>
    </row>
    <row r="51" spans="3:15" ht="15.75" customHeight="1">
      <c r="C51" s="1"/>
      <c r="D51" s="1"/>
      <c r="E51" s="1"/>
      <c r="F51" s="1"/>
      <c r="G51" s="1"/>
      <c r="H51" s="1"/>
      <c r="I51" s="2"/>
      <c r="J51" s="63"/>
      <c r="K51" s="63"/>
      <c r="L51" s="63"/>
      <c r="M51" s="3"/>
      <c r="N51" s="3"/>
      <c r="O51" s="3"/>
    </row>
    <row r="52" spans="3:15" ht="15.75" customHeight="1">
      <c r="C52" s="1"/>
      <c r="D52" s="1"/>
      <c r="E52" s="1"/>
      <c r="F52" s="1"/>
      <c r="G52" s="1"/>
      <c r="H52" s="1"/>
      <c r="I52" s="2"/>
      <c r="J52" s="63"/>
      <c r="K52" s="63"/>
      <c r="L52" s="63"/>
      <c r="M52" s="3"/>
      <c r="N52" s="3"/>
      <c r="O52" s="3"/>
    </row>
    <row r="53" spans="3:15" ht="15.75" customHeight="1">
      <c r="C53" s="1"/>
      <c r="D53" s="1"/>
      <c r="E53" s="1"/>
      <c r="F53" s="1"/>
      <c r="G53" s="1"/>
      <c r="H53" s="1"/>
      <c r="I53" s="2"/>
      <c r="J53" s="63"/>
      <c r="K53" s="63"/>
      <c r="L53" s="63"/>
      <c r="M53" s="3"/>
      <c r="N53" s="3"/>
      <c r="O53" s="3"/>
    </row>
    <row r="54" spans="3:15" ht="15.75" customHeight="1">
      <c r="C54" s="1"/>
      <c r="D54" s="1"/>
      <c r="E54" s="1"/>
      <c r="F54" s="1"/>
      <c r="G54" s="1"/>
      <c r="H54" s="1"/>
      <c r="I54" s="2"/>
      <c r="J54" s="63"/>
      <c r="K54" s="63"/>
      <c r="L54" s="63"/>
      <c r="M54" s="3"/>
      <c r="N54" s="3"/>
      <c r="O54" s="3"/>
    </row>
    <row r="55" spans="3:15" ht="15.75" customHeight="1">
      <c r="C55" s="1"/>
      <c r="D55" s="1"/>
      <c r="E55" s="1"/>
      <c r="F55" s="1"/>
      <c r="G55" s="1"/>
      <c r="H55" s="1"/>
      <c r="I55" s="2"/>
      <c r="J55" s="63"/>
      <c r="K55" s="63"/>
      <c r="L55" s="63"/>
      <c r="M55" s="3"/>
      <c r="N55" s="3"/>
      <c r="O55" s="3"/>
    </row>
    <row r="56" spans="3:15" ht="15.75" customHeight="1">
      <c r="C56" s="1"/>
      <c r="D56" s="1"/>
      <c r="E56" s="1"/>
      <c r="F56" s="1"/>
      <c r="G56" s="1"/>
      <c r="H56" s="1"/>
      <c r="I56" s="2"/>
      <c r="J56" s="63"/>
      <c r="K56" s="63"/>
      <c r="L56" s="63"/>
      <c r="M56" s="3"/>
      <c r="N56" s="3"/>
      <c r="O56" s="3"/>
    </row>
    <row r="57" spans="3:15" ht="15.75" customHeight="1">
      <c r="C57" s="1"/>
      <c r="D57" s="1"/>
      <c r="E57" s="1"/>
      <c r="F57" s="1"/>
      <c r="G57" s="1"/>
      <c r="H57" s="1"/>
      <c r="I57" s="2"/>
      <c r="J57" s="63"/>
      <c r="K57" s="63"/>
      <c r="L57" s="63"/>
    </row>
    <row r="58" spans="3:15" ht="15.75" customHeight="1">
      <c r="C58" s="1"/>
      <c r="D58" s="1"/>
      <c r="E58" s="1"/>
      <c r="F58" s="1"/>
      <c r="G58" s="1"/>
      <c r="H58" s="1"/>
      <c r="I58" s="2"/>
      <c r="J58" s="63"/>
      <c r="K58" s="63"/>
      <c r="L58" s="63"/>
    </row>
    <row r="59" spans="3:15" ht="15.75" customHeight="1">
      <c r="C59" s="1"/>
      <c r="D59" s="1"/>
      <c r="E59" s="1"/>
      <c r="F59" s="1"/>
      <c r="G59" s="1"/>
      <c r="H59" s="1"/>
      <c r="I59" s="2"/>
      <c r="J59" s="63"/>
      <c r="K59" s="63"/>
      <c r="L59" s="63"/>
    </row>
    <row r="60" spans="3:15" ht="15.75" customHeight="1">
      <c r="C60" s="1"/>
      <c r="D60" s="1"/>
      <c r="E60" s="1"/>
      <c r="F60" s="1"/>
      <c r="G60" s="1"/>
      <c r="H60" s="1"/>
      <c r="I60" s="2"/>
      <c r="J60" s="63"/>
      <c r="K60" s="63"/>
      <c r="L60" s="63"/>
    </row>
    <row r="61" spans="3:15" ht="15.75" customHeight="1">
      <c r="C61" s="1"/>
      <c r="D61" s="1"/>
      <c r="E61" s="1"/>
      <c r="F61" s="1"/>
      <c r="G61" s="1"/>
      <c r="H61" s="1"/>
      <c r="I61" s="2"/>
      <c r="J61" s="63"/>
      <c r="K61" s="63"/>
      <c r="L61" s="63"/>
    </row>
    <row r="62" spans="3:15" ht="15.75" customHeight="1">
      <c r="C62" s="1"/>
      <c r="D62" s="1"/>
      <c r="E62" s="1"/>
      <c r="F62" s="1"/>
      <c r="G62" s="1"/>
      <c r="H62" s="1"/>
      <c r="I62" s="2"/>
      <c r="J62" s="63"/>
      <c r="K62" s="63"/>
      <c r="L62" s="63"/>
    </row>
    <row r="63" spans="3:15" ht="15.75" customHeight="1">
      <c r="C63" s="1"/>
      <c r="D63" s="1"/>
      <c r="E63" s="1"/>
      <c r="F63" s="1"/>
      <c r="G63" s="1"/>
      <c r="H63" s="1"/>
      <c r="I63" s="2"/>
      <c r="J63" s="63"/>
      <c r="K63" s="63"/>
      <c r="L63" s="63"/>
    </row>
    <row r="64" spans="3:15" ht="15.75" customHeight="1">
      <c r="C64" s="1"/>
      <c r="D64" s="1"/>
      <c r="E64" s="1"/>
      <c r="F64" s="1"/>
      <c r="G64" s="1"/>
      <c r="H64" s="1"/>
      <c r="I64" s="2"/>
      <c r="J64" s="63"/>
      <c r="K64" s="63"/>
      <c r="L64" s="63"/>
    </row>
    <row r="65" spans="3:12" ht="15.75" customHeight="1">
      <c r="C65" s="1"/>
      <c r="D65" s="1"/>
      <c r="E65" s="1"/>
      <c r="F65" s="1"/>
      <c r="G65" s="1"/>
      <c r="H65" s="1"/>
      <c r="I65" s="2"/>
      <c r="J65" s="63"/>
      <c r="K65" s="63"/>
      <c r="L65" s="63"/>
    </row>
    <row r="66" spans="3:12" ht="15.75" customHeight="1">
      <c r="C66" s="1"/>
      <c r="D66" s="1"/>
      <c r="E66" s="1"/>
      <c r="F66" s="1"/>
      <c r="G66" s="1"/>
      <c r="H66" s="1"/>
      <c r="I66" s="2"/>
      <c r="J66" s="63"/>
      <c r="K66" s="63"/>
      <c r="L66" s="63"/>
    </row>
    <row r="67" spans="3:12" ht="15.75" customHeight="1">
      <c r="C67" s="1"/>
      <c r="D67" s="1"/>
      <c r="E67" s="1"/>
      <c r="F67" s="1"/>
      <c r="G67" s="1"/>
      <c r="H67" s="1"/>
      <c r="I67" s="2"/>
      <c r="J67" s="63"/>
      <c r="K67" s="63"/>
      <c r="L67" s="63"/>
    </row>
    <row r="68" spans="3:12" ht="15.75" customHeight="1">
      <c r="C68" s="1"/>
      <c r="D68" s="1"/>
      <c r="E68" s="1"/>
      <c r="F68" s="1"/>
      <c r="G68" s="1"/>
      <c r="H68" s="1"/>
      <c r="I68" s="2"/>
      <c r="J68" s="63"/>
      <c r="K68" s="63"/>
      <c r="L68" s="63"/>
    </row>
    <row r="69" spans="3:12" ht="15.75" customHeight="1">
      <c r="C69" s="1"/>
      <c r="D69" s="1"/>
      <c r="E69" s="1"/>
      <c r="F69" s="1"/>
      <c r="G69" s="1"/>
      <c r="H69" s="1"/>
      <c r="I69" s="2"/>
      <c r="J69" s="63"/>
      <c r="K69" s="63"/>
      <c r="L69" s="63"/>
    </row>
    <row r="70" spans="3:12" ht="15.75" customHeight="1">
      <c r="C70" s="1"/>
      <c r="D70" s="1"/>
      <c r="E70" s="1"/>
      <c r="F70" s="1"/>
      <c r="G70" s="1"/>
      <c r="H70" s="1"/>
      <c r="I70" s="2"/>
      <c r="J70" s="63"/>
      <c r="K70" s="63"/>
      <c r="L70" s="63"/>
    </row>
    <row r="71" spans="3:12" ht="15.75" customHeight="1">
      <c r="C71" s="1"/>
      <c r="D71" s="1"/>
      <c r="E71" s="1"/>
      <c r="F71" s="1"/>
      <c r="G71" s="1"/>
      <c r="H71" s="1"/>
      <c r="I71" s="2"/>
      <c r="J71" s="63"/>
      <c r="K71" s="63"/>
      <c r="L71" s="63"/>
    </row>
    <row r="72" spans="3:12" ht="15.75" customHeight="1">
      <c r="C72" s="1"/>
      <c r="D72" s="1"/>
      <c r="E72" s="1"/>
      <c r="F72" s="1"/>
      <c r="G72" s="1"/>
      <c r="H72" s="1"/>
      <c r="I72" s="2"/>
      <c r="J72" s="63"/>
      <c r="K72" s="63"/>
      <c r="L72" s="63"/>
    </row>
    <row r="73" spans="3:12" ht="15.75" customHeight="1">
      <c r="C73" s="1"/>
      <c r="D73" s="1"/>
      <c r="E73" s="1"/>
      <c r="F73" s="1"/>
      <c r="G73" s="1"/>
      <c r="H73" s="1"/>
      <c r="I73" s="2"/>
      <c r="J73" s="63"/>
      <c r="K73" s="63"/>
      <c r="L73" s="63"/>
    </row>
    <row r="74" spans="3:12" ht="15.75" customHeight="1">
      <c r="C74" s="1"/>
      <c r="D74" s="1"/>
      <c r="E74" s="1"/>
      <c r="F74" s="1"/>
      <c r="G74" s="1"/>
      <c r="H74" s="1"/>
      <c r="I74" s="2"/>
      <c r="J74" s="63"/>
      <c r="K74" s="63"/>
      <c r="L74" s="63"/>
    </row>
    <row r="75" spans="3:12" ht="15.75" customHeight="1">
      <c r="C75" s="1"/>
      <c r="D75" s="1"/>
      <c r="E75" s="1"/>
      <c r="F75" s="1"/>
      <c r="G75" s="1"/>
      <c r="H75" s="1"/>
      <c r="I75" s="2"/>
      <c r="J75" s="63"/>
      <c r="K75" s="63"/>
      <c r="L75" s="63"/>
    </row>
    <row r="76" spans="3:12" ht="15.75" customHeight="1">
      <c r="C76" s="1"/>
      <c r="D76" s="1"/>
      <c r="E76" s="1"/>
      <c r="F76" s="1"/>
      <c r="G76" s="1"/>
      <c r="H76" s="1"/>
      <c r="I76" s="2"/>
      <c r="J76" s="63"/>
      <c r="K76" s="63"/>
      <c r="L76" s="63"/>
    </row>
    <row r="77" spans="3:12" ht="15.75" customHeight="1">
      <c r="C77" s="1"/>
      <c r="D77" s="1"/>
      <c r="E77" s="1"/>
      <c r="F77" s="1"/>
      <c r="G77" s="1"/>
      <c r="H77" s="1"/>
      <c r="I77" s="2"/>
      <c r="J77" s="63"/>
      <c r="K77" s="63"/>
      <c r="L77" s="63"/>
    </row>
    <row r="78" spans="3:12" ht="15.75" customHeight="1">
      <c r="C78" s="1"/>
      <c r="D78" s="1"/>
      <c r="E78" s="1"/>
      <c r="F78" s="1"/>
      <c r="G78" s="1"/>
      <c r="H78" s="1"/>
      <c r="I78" s="2"/>
      <c r="J78" s="63"/>
      <c r="K78" s="63"/>
      <c r="L78" s="63"/>
    </row>
    <row r="79" spans="3:12" ht="15.75" customHeight="1">
      <c r="C79" s="1"/>
      <c r="D79" s="1"/>
      <c r="E79" s="1"/>
      <c r="F79" s="1"/>
      <c r="G79" s="1"/>
      <c r="H79" s="1"/>
      <c r="I79" s="2"/>
      <c r="J79" s="63"/>
      <c r="K79" s="63"/>
      <c r="L79" s="63"/>
    </row>
    <row r="80" spans="3:12" ht="15.75" customHeight="1">
      <c r="C80" s="1"/>
      <c r="D80" s="1"/>
      <c r="E80" s="1"/>
      <c r="F80" s="1"/>
      <c r="G80" s="1"/>
      <c r="H80" s="1"/>
      <c r="I80" s="2"/>
      <c r="J80" s="63"/>
      <c r="K80" s="63"/>
      <c r="L80" s="63"/>
    </row>
    <row r="81" spans="3:12" ht="15.75" customHeight="1">
      <c r="C81" s="1"/>
      <c r="D81" s="1"/>
      <c r="E81" s="1"/>
      <c r="F81" s="1"/>
      <c r="G81" s="1"/>
      <c r="H81" s="1"/>
      <c r="I81" s="2"/>
      <c r="J81" s="63"/>
      <c r="K81" s="63"/>
      <c r="L81" s="63"/>
    </row>
    <row r="82" spans="3:12" ht="15.75" customHeight="1">
      <c r="C82" s="1"/>
      <c r="D82" s="1"/>
      <c r="E82" s="1"/>
      <c r="F82" s="1"/>
      <c r="G82" s="1"/>
      <c r="H82" s="1"/>
      <c r="I82" s="2"/>
      <c r="J82" s="63"/>
      <c r="K82" s="63"/>
      <c r="L82" s="63"/>
    </row>
    <row r="83" spans="3:12" ht="15.75" customHeight="1">
      <c r="C83" s="1"/>
      <c r="D83" s="1"/>
      <c r="E83" s="1"/>
      <c r="F83" s="1"/>
      <c r="G83" s="1"/>
      <c r="H83" s="1"/>
      <c r="I83" s="2"/>
      <c r="J83" s="63"/>
      <c r="K83" s="63"/>
      <c r="L83" s="63"/>
    </row>
    <row r="84" spans="3:12" ht="15.75" customHeight="1">
      <c r="C84" s="1"/>
      <c r="D84" s="1"/>
      <c r="E84" s="1"/>
      <c r="F84" s="1"/>
      <c r="G84" s="1"/>
      <c r="H84" s="1"/>
      <c r="I84" s="2"/>
      <c r="J84" s="63"/>
      <c r="K84" s="63"/>
      <c r="L84" s="63"/>
    </row>
    <row r="85" spans="3:12" ht="15.75" customHeight="1">
      <c r="C85" s="1"/>
      <c r="D85" s="1"/>
      <c r="E85" s="1"/>
      <c r="F85" s="1"/>
      <c r="G85" s="1"/>
      <c r="H85" s="1"/>
      <c r="I85" s="2"/>
      <c r="J85" s="63"/>
      <c r="K85" s="63"/>
      <c r="L85" s="63"/>
    </row>
    <row r="86" spans="3:12" ht="15.75" customHeight="1">
      <c r="C86" s="1"/>
      <c r="D86" s="1"/>
      <c r="E86" s="1"/>
      <c r="F86" s="1"/>
      <c r="G86" s="1"/>
      <c r="H86" s="1"/>
      <c r="I86" s="2"/>
      <c r="J86" s="63"/>
      <c r="K86" s="63"/>
      <c r="L86" s="63"/>
    </row>
    <row r="87" spans="3:12" ht="15.75" customHeight="1">
      <c r="C87" s="1"/>
      <c r="D87" s="1"/>
      <c r="E87" s="1"/>
      <c r="F87" s="1"/>
      <c r="G87" s="1"/>
      <c r="H87" s="1"/>
      <c r="I87" s="2"/>
      <c r="J87" s="63"/>
      <c r="K87" s="63"/>
      <c r="L87" s="63"/>
    </row>
    <row r="88" spans="3:12" ht="15.75" customHeight="1">
      <c r="C88" s="1"/>
      <c r="D88" s="1"/>
      <c r="E88" s="1"/>
      <c r="F88" s="1"/>
      <c r="G88" s="1"/>
      <c r="H88" s="1"/>
      <c r="I88" s="2"/>
      <c r="J88" s="63"/>
      <c r="K88" s="63"/>
      <c r="L88" s="63"/>
    </row>
    <row r="89" spans="3:12" ht="15.75" customHeight="1">
      <c r="C89" s="1"/>
      <c r="D89" s="1"/>
      <c r="E89" s="1"/>
      <c r="F89" s="1"/>
      <c r="G89" s="1"/>
      <c r="H89" s="1"/>
      <c r="I89" s="2"/>
      <c r="J89" s="63"/>
      <c r="K89" s="63"/>
      <c r="L89" s="63"/>
    </row>
    <row r="90" spans="3:12" ht="15.75" customHeight="1">
      <c r="C90" s="1"/>
      <c r="D90" s="1"/>
      <c r="E90" s="1"/>
      <c r="F90" s="1"/>
      <c r="G90" s="1"/>
      <c r="H90" s="1"/>
      <c r="I90" s="2"/>
      <c r="J90" s="63"/>
      <c r="K90" s="63"/>
      <c r="L90" s="63"/>
    </row>
    <row r="91" spans="3:12" ht="15.75" customHeight="1">
      <c r="C91" s="1"/>
      <c r="D91" s="1"/>
      <c r="E91" s="1"/>
      <c r="F91" s="1"/>
      <c r="G91" s="1"/>
      <c r="H91" s="1"/>
      <c r="I91" s="2"/>
      <c r="J91" s="63"/>
      <c r="K91" s="63"/>
      <c r="L91" s="63"/>
    </row>
    <row r="92" spans="3:12" ht="15.75" customHeight="1">
      <c r="C92" s="1"/>
      <c r="D92" s="1"/>
      <c r="E92" s="1"/>
      <c r="F92" s="1"/>
      <c r="G92" s="1"/>
      <c r="H92" s="1"/>
      <c r="I92" s="2"/>
      <c r="J92" s="63"/>
      <c r="K92" s="63"/>
      <c r="L92" s="63"/>
    </row>
    <row r="93" spans="3:12" ht="15.75" customHeight="1">
      <c r="C93" s="1"/>
      <c r="D93" s="1"/>
      <c r="E93" s="1"/>
      <c r="F93" s="1"/>
      <c r="G93" s="1"/>
      <c r="H93" s="1"/>
      <c r="I93" s="2"/>
      <c r="J93" s="63"/>
      <c r="K93" s="63"/>
      <c r="L93" s="63"/>
    </row>
    <row r="94" spans="3:12" ht="15.75" customHeight="1">
      <c r="C94" s="1"/>
      <c r="D94" s="1"/>
      <c r="E94" s="1"/>
      <c r="F94" s="1"/>
      <c r="G94" s="1"/>
      <c r="H94" s="1"/>
      <c r="I94" s="2"/>
      <c r="J94" s="63"/>
      <c r="K94" s="63"/>
      <c r="L94" s="63"/>
    </row>
    <row r="95" spans="3:12" ht="15.75" customHeight="1">
      <c r="C95" s="1"/>
      <c r="D95" s="1"/>
      <c r="E95" s="1"/>
      <c r="F95" s="1"/>
      <c r="G95" s="1"/>
      <c r="H95" s="1"/>
      <c r="I95" s="2"/>
      <c r="J95" s="63"/>
      <c r="K95" s="63"/>
      <c r="L95" s="63"/>
    </row>
    <row r="96" spans="3:12" ht="15.75" customHeight="1">
      <c r="C96" s="1"/>
      <c r="D96" s="1"/>
      <c r="E96" s="1"/>
      <c r="F96" s="1"/>
      <c r="G96" s="1"/>
      <c r="H96" s="1"/>
      <c r="I96" s="2"/>
      <c r="J96" s="63"/>
      <c r="K96" s="63"/>
      <c r="L96" s="63"/>
    </row>
    <row r="97" spans="3:12" ht="15.75" customHeight="1">
      <c r="C97" s="1"/>
      <c r="D97" s="1"/>
      <c r="E97" s="1"/>
      <c r="F97" s="1"/>
      <c r="G97" s="1"/>
      <c r="H97" s="1"/>
      <c r="I97" s="2"/>
      <c r="J97" s="63"/>
      <c r="K97" s="63"/>
      <c r="L97" s="63"/>
    </row>
    <row r="98" spans="3:12" ht="15.75" customHeight="1">
      <c r="C98" s="1"/>
      <c r="D98" s="1"/>
      <c r="E98" s="1"/>
      <c r="F98" s="1"/>
      <c r="G98" s="1"/>
      <c r="H98" s="1"/>
      <c r="I98" s="2"/>
      <c r="J98" s="63"/>
      <c r="K98" s="63"/>
      <c r="L98" s="63"/>
    </row>
    <row r="99" spans="3:12" ht="15.75" customHeight="1">
      <c r="C99" s="1"/>
      <c r="D99" s="1"/>
      <c r="E99" s="1"/>
      <c r="F99" s="1"/>
      <c r="G99" s="1"/>
      <c r="H99" s="1"/>
      <c r="I99" s="2"/>
      <c r="J99" s="63"/>
      <c r="K99" s="63"/>
      <c r="L99" s="63"/>
    </row>
    <row r="100" spans="3:12" ht="15.75" customHeight="1">
      <c r="C100" s="1"/>
      <c r="D100" s="1"/>
      <c r="E100" s="1"/>
      <c r="F100" s="1"/>
      <c r="G100" s="1"/>
      <c r="H100" s="1"/>
      <c r="I100" s="2"/>
      <c r="J100" s="63"/>
      <c r="K100" s="63"/>
      <c r="L100" s="63"/>
    </row>
    <row r="101" spans="3:12" ht="15.75" customHeight="1">
      <c r="C101" s="1"/>
      <c r="D101" s="1"/>
      <c r="E101" s="1"/>
      <c r="F101" s="1"/>
      <c r="G101" s="1"/>
      <c r="H101" s="1"/>
      <c r="I101" s="2"/>
      <c r="J101" s="63"/>
      <c r="K101" s="63"/>
      <c r="L101" s="63"/>
    </row>
    <row r="102" spans="3:12" ht="15.75" customHeight="1">
      <c r="C102" s="1"/>
      <c r="D102" s="1"/>
      <c r="E102" s="1"/>
      <c r="F102" s="1"/>
      <c r="G102" s="1"/>
      <c r="H102" s="1"/>
      <c r="I102" s="2"/>
      <c r="J102" s="63"/>
      <c r="K102" s="63"/>
      <c r="L102" s="63"/>
    </row>
    <row r="103" spans="3:12" ht="15.75" customHeight="1">
      <c r="C103" s="1"/>
      <c r="D103" s="1"/>
      <c r="E103" s="1"/>
      <c r="F103" s="1"/>
      <c r="G103" s="1"/>
      <c r="H103" s="1"/>
      <c r="I103" s="2"/>
      <c r="J103" s="63"/>
      <c r="K103" s="63"/>
      <c r="L103" s="63"/>
    </row>
    <row r="104" spans="3:12" ht="15.75" customHeight="1">
      <c r="C104" s="1"/>
      <c r="D104" s="1"/>
      <c r="E104" s="1"/>
      <c r="F104" s="1"/>
      <c r="G104" s="1"/>
      <c r="H104" s="1"/>
      <c r="I104" s="2"/>
      <c r="J104" s="63"/>
      <c r="K104" s="63"/>
      <c r="L104" s="63"/>
    </row>
    <row r="105" spans="3:12" ht="15.75" customHeight="1">
      <c r="C105" s="1"/>
      <c r="D105" s="1"/>
      <c r="E105" s="1"/>
      <c r="F105" s="1"/>
      <c r="G105" s="1"/>
      <c r="H105" s="1"/>
      <c r="I105" s="2"/>
      <c r="J105" s="63"/>
      <c r="K105" s="63"/>
      <c r="L105" s="63"/>
    </row>
    <row r="106" spans="3:12" ht="15.75" customHeight="1">
      <c r="C106" s="1"/>
      <c r="D106" s="1"/>
      <c r="E106" s="1"/>
      <c r="F106" s="1"/>
      <c r="G106" s="1"/>
      <c r="H106" s="1"/>
      <c r="I106" s="2"/>
      <c r="J106" s="63"/>
      <c r="K106" s="63"/>
      <c r="L106" s="63"/>
    </row>
    <row r="107" spans="3:12" ht="15.75" customHeight="1">
      <c r="C107" s="1"/>
      <c r="D107" s="1"/>
      <c r="E107" s="1"/>
      <c r="F107" s="1"/>
      <c r="G107" s="1"/>
      <c r="H107" s="1"/>
      <c r="I107" s="2"/>
      <c r="J107" s="63"/>
      <c r="K107" s="63"/>
      <c r="L107" s="63"/>
    </row>
    <row r="108" spans="3:12" ht="15.75" customHeight="1">
      <c r="C108" s="1"/>
      <c r="D108" s="1"/>
      <c r="E108" s="1"/>
      <c r="F108" s="1"/>
      <c r="G108" s="1"/>
      <c r="H108" s="1"/>
      <c r="I108" s="2"/>
      <c r="J108" s="63"/>
      <c r="K108" s="63"/>
      <c r="L108" s="63"/>
    </row>
    <row r="109" spans="3:12" ht="15.75" customHeight="1">
      <c r="C109" s="1"/>
      <c r="D109" s="1"/>
      <c r="E109" s="1"/>
      <c r="F109" s="1"/>
      <c r="G109" s="1"/>
      <c r="H109" s="1"/>
      <c r="I109" s="2"/>
      <c r="J109" s="63"/>
      <c r="K109" s="63"/>
      <c r="L109" s="63"/>
    </row>
    <row r="110" spans="3:12" ht="15.75" customHeight="1">
      <c r="C110" s="1"/>
      <c r="D110" s="1"/>
      <c r="E110" s="1"/>
      <c r="F110" s="1"/>
      <c r="G110" s="1"/>
      <c r="H110" s="1"/>
      <c r="I110" s="2"/>
      <c r="J110" s="63"/>
      <c r="K110" s="63"/>
      <c r="L110" s="63"/>
    </row>
    <row r="111" spans="3:12" ht="15.75" customHeight="1">
      <c r="C111" s="1"/>
      <c r="D111" s="1"/>
      <c r="E111" s="1"/>
      <c r="F111" s="1"/>
      <c r="G111" s="1"/>
      <c r="H111" s="1"/>
      <c r="I111" s="2"/>
      <c r="J111" s="63"/>
      <c r="K111" s="63"/>
      <c r="L111" s="63"/>
    </row>
    <row r="112" spans="3:12" ht="15.75" customHeight="1">
      <c r="C112" s="1"/>
      <c r="D112" s="1"/>
      <c r="E112" s="1"/>
      <c r="F112" s="1"/>
      <c r="G112" s="1"/>
      <c r="H112" s="1"/>
      <c r="I112" s="2"/>
      <c r="J112" s="63"/>
      <c r="K112" s="63"/>
      <c r="L112" s="63"/>
    </row>
    <row r="113" spans="3:19" ht="15.75" customHeight="1">
      <c r="C113" s="1"/>
      <c r="D113" s="1"/>
      <c r="E113" s="1"/>
      <c r="F113" s="1"/>
      <c r="G113" s="1"/>
      <c r="H113" s="1"/>
      <c r="I113" s="2"/>
      <c r="J113" s="63"/>
      <c r="K113" s="63"/>
      <c r="L113" s="63"/>
    </row>
    <row r="114" spans="3:19" ht="15.75" customHeight="1">
      <c r="C114" s="1"/>
      <c r="I114" s="2"/>
      <c r="J114" s="63"/>
      <c r="K114" s="63"/>
      <c r="L114" s="63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63"/>
      <c r="K115" s="63"/>
      <c r="L115" s="63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63"/>
      <c r="K116" s="63"/>
      <c r="L116" s="63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63"/>
      <c r="K117" s="63"/>
      <c r="L117" s="63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63"/>
      <c r="K118" s="63"/>
      <c r="L118" s="63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63"/>
      <c r="K119" s="63"/>
      <c r="L119" s="63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63"/>
      <c r="K120" s="63"/>
      <c r="L120" s="63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63"/>
      <c r="K121" s="63"/>
      <c r="L121" s="63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63"/>
      <c r="K122" s="63"/>
      <c r="L122" s="63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63"/>
      <c r="K123" s="63"/>
      <c r="L123" s="63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63"/>
      <c r="K124" s="63"/>
      <c r="L124" s="63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63"/>
      <c r="K125" s="63"/>
      <c r="L125" s="63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63"/>
      <c r="K126" s="63"/>
      <c r="L126" s="63"/>
      <c r="M126" s="3"/>
      <c r="N126" s="3"/>
      <c r="O126" s="3"/>
      <c r="Q126" s="4"/>
      <c r="R126" s="5"/>
      <c r="S126" s="5"/>
    </row>
    <row r="127" spans="3:19" ht="15.75" customHeight="1"/>
    <row r="128" spans="3:19" ht="15.75" customHeight="1"/>
    <row r="129" spans="3:19" ht="15.75" customHeight="1"/>
    <row r="130" spans="3:19" ht="15.75" customHeight="1"/>
    <row r="131" spans="3:19" ht="15.75" customHeight="1"/>
    <row r="132" spans="3:19" ht="15.75" customHeight="1"/>
    <row r="133" spans="3:19" ht="15.75" customHeight="1">
      <c r="C133" s="1"/>
      <c r="I133" s="2"/>
      <c r="J133" s="63"/>
      <c r="K133" s="63"/>
      <c r="L133" s="63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63"/>
      <c r="K134" s="63"/>
      <c r="L134" s="63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63"/>
      <c r="K135" s="63"/>
      <c r="L135" s="63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63"/>
      <c r="K136" s="63"/>
      <c r="L136" s="63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63"/>
      <c r="K137" s="63"/>
      <c r="L137" s="63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63"/>
      <c r="K138" s="63"/>
      <c r="L138" s="63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63"/>
      <c r="K139" s="63"/>
      <c r="L139" s="63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63"/>
      <c r="K140" s="63"/>
      <c r="L140" s="63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63"/>
      <c r="K141" s="63"/>
      <c r="L141" s="63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63"/>
      <c r="K142" s="63"/>
      <c r="L142" s="63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63"/>
      <c r="K143" s="63"/>
      <c r="L143" s="63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63"/>
      <c r="K144" s="63"/>
      <c r="L144" s="63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63"/>
      <c r="K145" s="63"/>
      <c r="L145" s="63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63"/>
      <c r="K146" s="63"/>
      <c r="L146" s="63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63"/>
      <c r="K147" s="63"/>
      <c r="L147" s="63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63"/>
      <c r="K148" s="63"/>
      <c r="L148" s="63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63"/>
      <c r="K149" s="63"/>
      <c r="L149" s="63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63"/>
      <c r="K150" s="63"/>
      <c r="L150" s="63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63"/>
      <c r="K151" s="63"/>
      <c r="L151" s="63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63"/>
      <c r="K152" s="63"/>
      <c r="L152" s="63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63"/>
      <c r="K153" s="63"/>
      <c r="L153" s="63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63"/>
      <c r="K154" s="63"/>
      <c r="L154" s="63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63"/>
      <c r="K155" s="63"/>
      <c r="L155" s="63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63"/>
      <c r="K156" s="63"/>
      <c r="L156" s="63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63"/>
      <c r="K157" s="63"/>
      <c r="L157" s="63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63"/>
      <c r="K158" s="63"/>
      <c r="L158" s="63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63"/>
      <c r="K159" s="63"/>
      <c r="L159" s="63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63"/>
      <c r="K160" s="63"/>
      <c r="L160" s="63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63"/>
      <c r="K161" s="63"/>
      <c r="L161" s="63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63"/>
      <c r="K162" s="63"/>
      <c r="L162" s="63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63"/>
      <c r="K163" s="63"/>
      <c r="L163" s="63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63"/>
      <c r="K164" s="63"/>
      <c r="L164" s="63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63"/>
      <c r="K165" s="63"/>
      <c r="L165" s="63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63"/>
      <c r="K166" s="63"/>
      <c r="L166" s="63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63"/>
      <c r="K167" s="63"/>
      <c r="L167" s="63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63"/>
      <c r="K168" s="63"/>
      <c r="L168" s="63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63"/>
      <c r="K169" s="63"/>
      <c r="L169" s="63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63"/>
      <c r="K170" s="63"/>
      <c r="L170" s="63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63"/>
      <c r="K171" s="63"/>
      <c r="L171" s="63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63"/>
      <c r="K172" s="63"/>
      <c r="L172" s="63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63"/>
      <c r="K173" s="63"/>
      <c r="L173" s="63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63"/>
      <c r="K174" s="63"/>
      <c r="L174" s="63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63"/>
      <c r="K175" s="63"/>
      <c r="L175" s="63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63"/>
      <c r="K176" s="63"/>
      <c r="L176" s="63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63"/>
      <c r="K177" s="63"/>
      <c r="L177" s="63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63"/>
      <c r="K178" s="63"/>
      <c r="L178" s="63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63"/>
      <c r="K179" s="63"/>
      <c r="L179" s="63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63"/>
      <c r="K180" s="63"/>
      <c r="L180" s="63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63"/>
      <c r="K181" s="63"/>
      <c r="L181" s="63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63"/>
      <c r="K182" s="63"/>
      <c r="L182" s="63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63"/>
      <c r="K183" s="63"/>
      <c r="L183" s="63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63"/>
      <c r="K184" s="63"/>
      <c r="L184" s="63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63"/>
      <c r="K185" s="63"/>
      <c r="L185" s="63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63"/>
      <c r="K186" s="63"/>
      <c r="L186" s="63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63"/>
      <c r="K187" s="63"/>
      <c r="L187" s="63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63"/>
      <c r="K188" s="63"/>
      <c r="L188" s="63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63"/>
      <c r="K189" s="63"/>
      <c r="L189" s="63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63"/>
      <c r="K190" s="63"/>
      <c r="L190" s="63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63"/>
      <c r="K191" s="63"/>
      <c r="L191" s="63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63"/>
      <c r="K192" s="63"/>
      <c r="L192" s="63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63"/>
      <c r="K193" s="63"/>
      <c r="L193" s="63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63"/>
      <c r="K194" s="63"/>
      <c r="L194" s="63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63"/>
      <c r="K195" s="63"/>
      <c r="L195" s="63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63"/>
      <c r="K196" s="63"/>
      <c r="L196" s="63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63"/>
      <c r="K197" s="63"/>
      <c r="L197" s="63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63"/>
      <c r="K198" s="63"/>
      <c r="L198" s="63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63"/>
      <c r="K199" s="63"/>
      <c r="L199" s="63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63"/>
      <c r="K200" s="63"/>
      <c r="L200" s="63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63"/>
      <c r="K201" s="63"/>
      <c r="L201" s="63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63"/>
      <c r="K202" s="63"/>
      <c r="L202" s="63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63"/>
      <c r="K203" s="63"/>
      <c r="L203" s="63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63"/>
      <c r="K204" s="63"/>
      <c r="L204" s="63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63"/>
      <c r="K205" s="63"/>
      <c r="L205" s="63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63"/>
      <c r="K206" s="63"/>
      <c r="L206" s="63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63"/>
      <c r="K207" s="63"/>
      <c r="L207" s="63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63"/>
      <c r="K208" s="63"/>
      <c r="L208" s="63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63"/>
      <c r="K209" s="63"/>
      <c r="L209" s="63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63"/>
      <c r="K210" s="63"/>
      <c r="L210" s="63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63"/>
      <c r="K211" s="63"/>
      <c r="L211" s="63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63"/>
      <c r="K212" s="63"/>
      <c r="L212" s="63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63"/>
      <c r="K213" s="63"/>
      <c r="L213" s="63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63"/>
      <c r="K214" s="63"/>
      <c r="L214" s="63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63"/>
      <c r="K215" s="63"/>
      <c r="L215" s="63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63"/>
      <c r="K216" s="63"/>
      <c r="L216" s="63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63"/>
      <c r="K217" s="63"/>
      <c r="L217" s="63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63"/>
      <c r="K218" s="63"/>
      <c r="L218" s="63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63"/>
      <c r="K219" s="63"/>
      <c r="L219" s="63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63"/>
      <c r="K220" s="63"/>
      <c r="L220" s="63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63"/>
      <c r="K221" s="63"/>
      <c r="L221" s="63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63"/>
      <c r="K222" s="63"/>
      <c r="L222" s="63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63"/>
      <c r="K223" s="63"/>
      <c r="L223" s="63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63"/>
      <c r="K224" s="63"/>
      <c r="L224" s="63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63"/>
      <c r="K225" s="63"/>
      <c r="L225" s="63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63"/>
      <c r="K226" s="63"/>
      <c r="L226" s="63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63"/>
      <c r="K227" s="63"/>
      <c r="L227" s="63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63"/>
      <c r="K228" s="63"/>
      <c r="L228" s="63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63"/>
      <c r="K229" s="63"/>
      <c r="L229" s="63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63"/>
      <c r="K230" s="63"/>
      <c r="L230" s="63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63"/>
      <c r="K231" s="63"/>
      <c r="L231" s="63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63"/>
      <c r="K232" s="63"/>
      <c r="L232" s="63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63"/>
      <c r="K233" s="63"/>
      <c r="L233" s="63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63"/>
      <c r="K234" s="63"/>
      <c r="L234" s="63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63"/>
      <c r="K235" s="63"/>
      <c r="L235" s="63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63"/>
      <c r="K236" s="63"/>
      <c r="L236" s="63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63"/>
      <c r="K237" s="63"/>
      <c r="L237" s="63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63"/>
      <c r="K238" s="63"/>
      <c r="L238" s="63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63"/>
      <c r="K239" s="63"/>
      <c r="L239" s="63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63"/>
      <c r="K240" s="63"/>
      <c r="L240" s="63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63"/>
      <c r="K241" s="63"/>
      <c r="L241" s="63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63"/>
      <c r="K242" s="63"/>
      <c r="L242" s="63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63"/>
      <c r="K243" s="63"/>
      <c r="L243" s="63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63"/>
      <c r="K244" s="63"/>
      <c r="L244" s="63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63"/>
      <c r="K245" s="63"/>
      <c r="L245" s="63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63"/>
      <c r="K246" s="63"/>
      <c r="L246" s="63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63"/>
      <c r="K247" s="63"/>
      <c r="L247" s="63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63"/>
      <c r="K248" s="63"/>
      <c r="L248" s="63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63"/>
      <c r="K249" s="63"/>
      <c r="L249" s="63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63"/>
      <c r="K250" s="63"/>
      <c r="L250" s="63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63"/>
      <c r="K251" s="63"/>
      <c r="L251" s="63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63"/>
      <c r="K252" s="63"/>
      <c r="L252" s="63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63"/>
      <c r="K253" s="63"/>
      <c r="L253" s="63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63"/>
      <c r="K254" s="63"/>
      <c r="L254" s="63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63"/>
      <c r="K255" s="63"/>
      <c r="L255" s="63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63"/>
      <c r="K256" s="63"/>
      <c r="L256" s="63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63"/>
      <c r="K257" s="63"/>
      <c r="L257" s="63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63"/>
      <c r="K258" s="63"/>
      <c r="L258" s="63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63"/>
      <c r="K259" s="63"/>
      <c r="L259" s="63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63"/>
      <c r="K260" s="63"/>
      <c r="L260" s="63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63"/>
      <c r="K261" s="63"/>
      <c r="L261" s="63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63"/>
      <c r="K262" s="63"/>
      <c r="L262" s="63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63"/>
      <c r="K263" s="63"/>
      <c r="L263" s="63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63"/>
      <c r="K264" s="63"/>
      <c r="L264" s="63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63"/>
      <c r="K265" s="63"/>
      <c r="L265" s="63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63"/>
      <c r="K266" s="63"/>
      <c r="L266" s="63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63"/>
      <c r="K267" s="63"/>
      <c r="L267" s="63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63"/>
      <c r="K268" s="63"/>
      <c r="L268" s="63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63"/>
      <c r="K269" s="63"/>
      <c r="L269" s="63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63"/>
      <c r="K270" s="63"/>
      <c r="L270" s="63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63"/>
      <c r="K271" s="63"/>
      <c r="L271" s="63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63"/>
      <c r="K272" s="63"/>
      <c r="L272" s="63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63"/>
      <c r="K273" s="63"/>
      <c r="L273" s="63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63"/>
      <c r="K274" s="63"/>
      <c r="L274" s="63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63"/>
      <c r="K275" s="63"/>
      <c r="L275" s="63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63"/>
      <c r="K276" s="63"/>
      <c r="L276" s="63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63"/>
      <c r="K277" s="63"/>
      <c r="L277" s="63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63"/>
      <c r="K278" s="63"/>
      <c r="L278" s="63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63"/>
      <c r="K279" s="63"/>
      <c r="L279" s="63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63"/>
      <c r="K280" s="63"/>
      <c r="L280" s="63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63"/>
      <c r="K281" s="63"/>
      <c r="L281" s="63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63"/>
      <c r="K282" s="63"/>
      <c r="L282" s="63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63"/>
      <c r="K283" s="63"/>
      <c r="L283" s="63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63"/>
      <c r="K284" s="63"/>
      <c r="L284" s="63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63"/>
      <c r="K285" s="63"/>
      <c r="L285" s="63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63"/>
      <c r="K286" s="63"/>
      <c r="L286" s="63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63"/>
      <c r="K287" s="63"/>
      <c r="L287" s="63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63"/>
      <c r="K288" s="63"/>
      <c r="L288" s="63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63"/>
      <c r="K289" s="63"/>
      <c r="L289" s="63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63"/>
      <c r="K290" s="63"/>
      <c r="L290" s="63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63"/>
      <c r="K291" s="63"/>
      <c r="L291" s="63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63"/>
      <c r="K292" s="63"/>
      <c r="L292" s="63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63"/>
      <c r="K293" s="63"/>
      <c r="L293" s="63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63"/>
      <c r="K294" s="63"/>
      <c r="L294" s="63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63"/>
      <c r="K295" s="63"/>
      <c r="L295" s="63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63"/>
      <c r="K296" s="63"/>
      <c r="L296" s="63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63"/>
      <c r="K297" s="63"/>
      <c r="L297" s="63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63"/>
      <c r="K298" s="63"/>
      <c r="L298" s="63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63"/>
      <c r="K299" s="63"/>
      <c r="L299" s="63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63"/>
      <c r="K300" s="63"/>
      <c r="L300" s="63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63"/>
      <c r="K301" s="63"/>
      <c r="L301" s="63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63"/>
      <c r="K302" s="63"/>
      <c r="L302" s="63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63"/>
      <c r="K303" s="63"/>
      <c r="L303" s="63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63"/>
      <c r="K304" s="63"/>
      <c r="L304" s="63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63"/>
      <c r="K305" s="63"/>
      <c r="L305" s="63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63"/>
      <c r="K306" s="63"/>
      <c r="L306" s="63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63"/>
      <c r="K307" s="63"/>
      <c r="L307" s="63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63"/>
      <c r="K308" s="63"/>
      <c r="L308" s="63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63"/>
      <c r="K309" s="63"/>
      <c r="L309" s="63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63"/>
      <c r="K310" s="63"/>
      <c r="L310" s="63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63"/>
      <c r="K311" s="63"/>
      <c r="L311" s="63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63"/>
      <c r="K312" s="63"/>
      <c r="L312" s="63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63"/>
      <c r="K313" s="63"/>
      <c r="L313" s="63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63"/>
      <c r="K314" s="63"/>
      <c r="L314" s="63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63"/>
      <c r="K315" s="63"/>
      <c r="L315" s="63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63"/>
      <c r="K316" s="63"/>
      <c r="L316" s="63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63"/>
      <c r="K317" s="63"/>
      <c r="L317" s="63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63"/>
      <c r="K318" s="63"/>
      <c r="L318" s="63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63"/>
      <c r="K319" s="63"/>
      <c r="L319" s="63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63"/>
      <c r="K320" s="63"/>
      <c r="L320" s="63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63"/>
      <c r="K321" s="63"/>
      <c r="L321" s="63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63"/>
      <c r="K322" s="63"/>
      <c r="L322" s="63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63"/>
      <c r="K323" s="63"/>
      <c r="L323" s="63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63"/>
      <c r="K324" s="63"/>
      <c r="L324" s="63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63"/>
      <c r="K325" s="63"/>
      <c r="L325" s="63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63"/>
      <c r="K326" s="63"/>
      <c r="L326" s="63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63"/>
      <c r="K327" s="63"/>
      <c r="L327" s="63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63"/>
      <c r="K328" s="63"/>
      <c r="L328" s="63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63"/>
      <c r="K329" s="63"/>
      <c r="L329" s="63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63"/>
      <c r="K330" s="63"/>
      <c r="L330" s="63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63"/>
      <c r="K331" s="63"/>
      <c r="L331" s="63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63"/>
      <c r="K332" s="63"/>
      <c r="L332" s="63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63"/>
      <c r="K333" s="63"/>
      <c r="L333" s="63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63"/>
      <c r="K334" s="63"/>
      <c r="L334" s="63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63"/>
      <c r="K335" s="63"/>
      <c r="L335" s="63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63"/>
      <c r="K336" s="63"/>
      <c r="L336" s="63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63"/>
      <c r="K337" s="63"/>
      <c r="L337" s="63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63"/>
      <c r="K338" s="63"/>
      <c r="L338" s="63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63"/>
      <c r="K339" s="63"/>
      <c r="L339" s="63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63"/>
      <c r="K340" s="63"/>
      <c r="L340" s="63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63"/>
      <c r="K341" s="63"/>
      <c r="L341" s="63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63"/>
      <c r="K342" s="63"/>
      <c r="L342" s="63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63"/>
      <c r="K343" s="63"/>
      <c r="L343" s="63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63"/>
      <c r="K344" s="63"/>
      <c r="L344" s="63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63"/>
      <c r="K345" s="63"/>
      <c r="L345" s="63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63"/>
      <c r="K346" s="63"/>
      <c r="L346" s="63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63"/>
      <c r="K347" s="63"/>
      <c r="L347" s="63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63"/>
      <c r="K348" s="63"/>
      <c r="L348" s="63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63"/>
      <c r="K349" s="63"/>
      <c r="L349" s="63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63"/>
      <c r="K350" s="63"/>
      <c r="L350" s="63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63"/>
      <c r="K351" s="63"/>
      <c r="L351" s="63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63"/>
      <c r="K352" s="63"/>
      <c r="L352" s="63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63"/>
      <c r="K353" s="63"/>
      <c r="L353" s="63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63"/>
      <c r="K354" s="63"/>
      <c r="L354" s="63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63"/>
      <c r="K355" s="63"/>
      <c r="L355" s="63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63"/>
      <c r="K356" s="63"/>
      <c r="L356" s="63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63"/>
      <c r="K357" s="63"/>
      <c r="L357" s="63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63"/>
      <c r="K358" s="63"/>
      <c r="L358" s="63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63"/>
      <c r="K359" s="63"/>
      <c r="L359" s="63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63"/>
      <c r="K360" s="63"/>
      <c r="L360" s="63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63"/>
      <c r="K361" s="63"/>
      <c r="L361" s="63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63"/>
      <c r="K362" s="63"/>
      <c r="L362" s="63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63"/>
      <c r="K363" s="63"/>
      <c r="L363" s="63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63"/>
      <c r="K364" s="63"/>
      <c r="L364" s="63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63"/>
      <c r="K365" s="63"/>
      <c r="L365" s="63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63"/>
      <c r="K366" s="63"/>
      <c r="L366" s="63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63"/>
      <c r="K367" s="63"/>
      <c r="L367" s="63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63"/>
      <c r="K368" s="63"/>
      <c r="L368" s="63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63"/>
      <c r="K369" s="63"/>
      <c r="L369" s="63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63"/>
      <c r="K370" s="63"/>
      <c r="L370" s="63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63"/>
      <c r="K371" s="63"/>
      <c r="L371" s="63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63"/>
      <c r="K372" s="63"/>
      <c r="L372" s="63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63"/>
      <c r="K373" s="63"/>
      <c r="L373" s="63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63"/>
      <c r="K374" s="63"/>
      <c r="L374" s="63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63"/>
      <c r="K375" s="63"/>
      <c r="L375" s="63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63"/>
      <c r="K376" s="63"/>
      <c r="L376" s="63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63"/>
      <c r="K377" s="63"/>
      <c r="L377" s="63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63"/>
      <c r="K378" s="63"/>
      <c r="L378" s="63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63"/>
      <c r="K379" s="63"/>
      <c r="L379" s="63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63"/>
      <c r="K380" s="63"/>
      <c r="L380" s="63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63"/>
      <c r="K381" s="63"/>
      <c r="L381" s="63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63"/>
      <c r="K382" s="63"/>
      <c r="L382" s="63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63"/>
      <c r="K383" s="63"/>
      <c r="L383" s="63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63"/>
      <c r="K384" s="63"/>
      <c r="L384" s="63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63"/>
      <c r="K385" s="63"/>
      <c r="L385" s="63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63"/>
      <c r="K386" s="63"/>
      <c r="L386" s="63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63"/>
      <c r="K387" s="63"/>
      <c r="L387" s="63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63"/>
      <c r="K388" s="63"/>
      <c r="L388" s="63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63"/>
      <c r="K389" s="63"/>
      <c r="L389" s="63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63"/>
      <c r="K390" s="63"/>
      <c r="L390" s="63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63"/>
      <c r="K391" s="63"/>
      <c r="L391" s="63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63"/>
      <c r="K392" s="63"/>
      <c r="L392" s="63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63"/>
      <c r="K393" s="63"/>
      <c r="L393" s="63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63"/>
      <c r="K394" s="63"/>
      <c r="L394" s="63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63"/>
      <c r="K395" s="63"/>
      <c r="L395" s="63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63"/>
      <c r="K396" s="63"/>
      <c r="L396" s="63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63"/>
      <c r="K397" s="63"/>
      <c r="L397" s="63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63"/>
      <c r="K398" s="63"/>
      <c r="L398" s="63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63"/>
      <c r="K399" s="63"/>
      <c r="L399" s="63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63"/>
      <c r="K400" s="63"/>
      <c r="L400" s="63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63"/>
      <c r="K401" s="63"/>
      <c r="L401" s="63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63"/>
      <c r="K402" s="63"/>
      <c r="L402" s="63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63"/>
      <c r="K403" s="63"/>
      <c r="L403" s="63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63"/>
      <c r="K404" s="63"/>
      <c r="L404" s="63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63"/>
      <c r="K405" s="63"/>
      <c r="L405" s="63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63"/>
      <c r="K406" s="63"/>
      <c r="L406" s="63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63"/>
      <c r="K407" s="63"/>
      <c r="L407" s="63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63"/>
      <c r="K408" s="63"/>
      <c r="L408" s="63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63"/>
      <c r="K409" s="63"/>
      <c r="L409" s="63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63"/>
      <c r="K410" s="63"/>
      <c r="L410" s="63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63"/>
      <c r="K411" s="63"/>
      <c r="L411" s="63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63"/>
      <c r="K412" s="63"/>
      <c r="L412" s="63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63"/>
      <c r="K413" s="63"/>
      <c r="L413" s="63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63"/>
      <c r="K414" s="63"/>
      <c r="L414" s="63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63"/>
      <c r="K415" s="63"/>
      <c r="L415" s="63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63"/>
      <c r="K416" s="63"/>
      <c r="L416" s="63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63"/>
      <c r="K417" s="63"/>
      <c r="L417" s="63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63"/>
      <c r="K418" s="63"/>
      <c r="L418" s="63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63"/>
      <c r="K419" s="63"/>
      <c r="L419" s="63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63"/>
      <c r="K420" s="63"/>
      <c r="L420" s="63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63"/>
      <c r="K421" s="63"/>
      <c r="L421" s="63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63"/>
      <c r="K422" s="63"/>
      <c r="L422" s="63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63"/>
      <c r="K423" s="63"/>
      <c r="L423" s="63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63"/>
      <c r="K424" s="63"/>
      <c r="L424" s="63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63"/>
      <c r="K425" s="63"/>
      <c r="L425" s="63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63"/>
      <c r="K426" s="63"/>
      <c r="L426" s="63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63"/>
      <c r="K427" s="63"/>
      <c r="L427" s="63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63"/>
      <c r="K428" s="63"/>
      <c r="L428" s="63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63"/>
      <c r="K429" s="63"/>
      <c r="L429" s="63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63"/>
      <c r="K430" s="63"/>
      <c r="L430" s="63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63"/>
      <c r="K431" s="63"/>
      <c r="L431" s="63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63"/>
      <c r="K432" s="63"/>
      <c r="L432" s="63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63"/>
      <c r="K433" s="63"/>
      <c r="L433" s="63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63"/>
      <c r="K434" s="63"/>
      <c r="L434" s="63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63"/>
      <c r="K435" s="63"/>
      <c r="L435" s="63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63"/>
      <c r="K436" s="63"/>
      <c r="L436" s="63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63"/>
      <c r="K437" s="63"/>
      <c r="L437" s="63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63"/>
      <c r="K438" s="63"/>
      <c r="L438" s="63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63"/>
      <c r="K439" s="63"/>
      <c r="L439" s="63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63"/>
      <c r="K440" s="63"/>
      <c r="L440" s="63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63"/>
      <c r="K441" s="63"/>
      <c r="L441" s="63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63"/>
      <c r="K442" s="63"/>
      <c r="L442" s="63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63"/>
      <c r="K443" s="63"/>
      <c r="L443" s="63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63"/>
      <c r="K444" s="63"/>
      <c r="L444" s="63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63"/>
      <c r="K445" s="63"/>
      <c r="L445" s="63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63"/>
      <c r="K446" s="63"/>
      <c r="L446" s="63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63"/>
      <c r="K447" s="63"/>
      <c r="L447" s="63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63"/>
      <c r="K448" s="63"/>
      <c r="L448" s="63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63"/>
      <c r="K449" s="63"/>
      <c r="L449" s="63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63"/>
      <c r="K450" s="63"/>
      <c r="L450" s="63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63"/>
      <c r="K451" s="63"/>
      <c r="L451" s="63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63"/>
      <c r="K452" s="63"/>
      <c r="L452" s="63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63"/>
      <c r="K453" s="63"/>
      <c r="L453" s="63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63"/>
      <c r="K454" s="63"/>
      <c r="L454" s="63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63"/>
      <c r="K455" s="63"/>
      <c r="L455" s="63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63"/>
      <c r="K456" s="63"/>
      <c r="L456" s="63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63"/>
      <c r="K457" s="63"/>
      <c r="L457" s="63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63"/>
      <c r="K458" s="63"/>
      <c r="L458" s="63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63"/>
      <c r="K459" s="63"/>
      <c r="L459" s="63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63"/>
      <c r="K460" s="63"/>
      <c r="L460" s="63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63"/>
      <c r="K461" s="63"/>
      <c r="L461" s="63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63"/>
      <c r="K462" s="63"/>
      <c r="L462" s="63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63"/>
      <c r="K463" s="63"/>
      <c r="L463" s="63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63"/>
      <c r="K464" s="63"/>
      <c r="L464" s="63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63"/>
      <c r="K465" s="63"/>
      <c r="L465" s="63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63"/>
      <c r="K466" s="63"/>
      <c r="L466" s="63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63"/>
      <c r="K467" s="63"/>
      <c r="L467" s="63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63"/>
      <c r="K468" s="63"/>
      <c r="L468" s="63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63"/>
      <c r="K469" s="63"/>
      <c r="L469" s="63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63"/>
      <c r="K470" s="63"/>
      <c r="L470" s="63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63"/>
      <c r="K471" s="63"/>
      <c r="L471" s="63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63"/>
      <c r="K472" s="63"/>
      <c r="L472" s="63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63"/>
      <c r="K473" s="63"/>
      <c r="L473" s="63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63"/>
      <c r="K474" s="63"/>
      <c r="L474" s="63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63"/>
      <c r="K475" s="63"/>
      <c r="L475" s="63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63"/>
      <c r="K476" s="63"/>
      <c r="L476" s="63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63"/>
      <c r="K477" s="63"/>
      <c r="L477" s="63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63"/>
      <c r="K478" s="63"/>
      <c r="L478" s="63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63"/>
      <c r="K479" s="63"/>
      <c r="L479" s="63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63"/>
      <c r="K480" s="63"/>
      <c r="L480" s="63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63"/>
      <c r="K481" s="63"/>
      <c r="L481" s="63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63"/>
      <c r="K482" s="63"/>
      <c r="L482" s="63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63"/>
      <c r="K483" s="63"/>
      <c r="L483" s="63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63"/>
      <c r="K484" s="63"/>
      <c r="L484" s="63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63"/>
      <c r="K485" s="63"/>
      <c r="L485" s="63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63"/>
      <c r="K486" s="63"/>
      <c r="L486" s="63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63"/>
      <c r="K487" s="63"/>
      <c r="L487" s="63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63"/>
      <c r="K488" s="63"/>
      <c r="L488" s="63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63"/>
      <c r="K489" s="63"/>
      <c r="L489" s="63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63"/>
      <c r="K490" s="63"/>
      <c r="L490" s="63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63"/>
      <c r="K491" s="63"/>
      <c r="L491" s="63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63"/>
      <c r="K492" s="63"/>
      <c r="L492" s="63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63"/>
      <c r="K493" s="63"/>
      <c r="L493" s="63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63"/>
      <c r="K494" s="63"/>
      <c r="L494" s="63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63"/>
      <c r="K495" s="63"/>
      <c r="L495" s="63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63"/>
      <c r="K496" s="63"/>
      <c r="L496" s="63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63"/>
      <c r="K497" s="63"/>
      <c r="L497" s="63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63"/>
      <c r="K498" s="63"/>
      <c r="L498" s="63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63"/>
      <c r="K499" s="63"/>
      <c r="L499" s="63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63"/>
      <c r="K500" s="63"/>
      <c r="L500" s="63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63"/>
      <c r="K501" s="63"/>
      <c r="L501" s="63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63"/>
      <c r="K502" s="63"/>
      <c r="L502" s="63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63"/>
      <c r="K503" s="63"/>
      <c r="L503" s="63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63"/>
      <c r="K504" s="63"/>
      <c r="L504" s="63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63"/>
      <c r="K505" s="63"/>
      <c r="L505" s="63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63"/>
      <c r="K506" s="63"/>
      <c r="L506" s="63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63"/>
      <c r="K507" s="63"/>
      <c r="L507" s="63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63"/>
      <c r="K508" s="63"/>
      <c r="L508" s="63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63"/>
      <c r="K509" s="63"/>
      <c r="L509" s="63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63"/>
      <c r="K510" s="63"/>
      <c r="L510" s="63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63"/>
      <c r="K511" s="63"/>
      <c r="L511" s="63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63"/>
      <c r="K512" s="63"/>
      <c r="L512" s="63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63"/>
      <c r="K513" s="63"/>
      <c r="L513" s="63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63"/>
      <c r="K514" s="63"/>
      <c r="L514" s="63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63"/>
      <c r="K515" s="63"/>
      <c r="L515" s="63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63"/>
      <c r="K516" s="63"/>
      <c r="L516" s="63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63"/>
      <c r="K517" s="63"/>
      <c r="L517" s="63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63"/>
      <c r="K518" s="63"/>
      <c r="L518" s="63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63"/>
      <c r="K519" s="63"/>
      <c r="L519" s="63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63"/>
      <c r="K520" s="63"/>
      <c r="L520" s="63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63"/>
      <c r="K521" s="63"/>
      <c r="L521" s="63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63"/>
      <c r="K522" s="63"/>
      <c r="L522" s="63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63"/>
      <c r="K523" s="63"/>
      <c r="L523" s="63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63"/>
      <c r="K524" s="63"/>
      <c r="L524" s="63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63"/>
      <c r="K525" s="63"/>
      <c r="L525" s="63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63"/>
      <c r="K526" s="63"/>
      <c r="L526" s="63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63"/>
      <c r="K527" s="63"/>
      <c r="L527" s="63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63"/>
      <c r="K528" s="63"/>
      <c r="L528" s="63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63"/>
      <c r="K529" s="63"/>
      <c r="L529" s="63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63"/>
      <c r="K530" s="63"/>
      <c r="L530" s="63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63"/>
      <c r="K531" s="63"/>
      <c r="L531" s="63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63"/>
      <c r="K532" s="63"/>
      <c r="L532" s="63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63"/>
      <c r="K533" s="63"/>
      <c r="L533" s="63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63"/>
      <c r="K534" s="63"/>
      <c r="L534" s="63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63"/>
      <c r="K535" s="63"/>
      <c r="L535" s="63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63"/>
      <c r="K536" s="63"/>
      <c r="L536" s="63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63"/>
      <c r="K537" s="63"/>
      <c r="L537" s="63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63"/>
      <c r="K538" s="63"/>
      <c r="L538" s="63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63"/>
      <c r="K539" s="63"/>
      <c r="L539" s="63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63"/>
      <c r="K540" s="63"/>
      <c r="L540" s="63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63"/>
      <c r="K541" s="63"/>
      <c r="L541" s="63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63"/>
      <c r="K542" s="63"/>
      <c r="L542" s="63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63"/>
      <c r="K543" s="63"/>
      <c r="L543" s="63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63"/>
      <c r="K544" s="63"/>
      <c r="L544" s="63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63"/>
      <c r="K545" s="63"/>
      <c r="L545" s="63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63"/>
      <c r="K546" s="63"/>
      <c r="L546" s="63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63"/>
      <c r="K547" s="63"/>
      <c r="L547" s="63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63"/>
      <c r="K548" s="63"/>
      <c r="L548" s="63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63"/>
      <c r="K549" s="63"/>
      <c r="L549" s="63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63"/>
      <c r="K550" s="63"/>
      <c r="L550" s="63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63"/>
      <c r="K551" s="63"/>
      <c r="L551" s="63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63"/>
      <c r="K552" s="63"/>
      <c r="L552" s="63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63"/>
      <c r="K553" s="63"/>
      <c r="L553" s="63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63"/>
      <c r="K554" s="63"/>
      <c r="L554" s="63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63"/>
      <c r="K555" s="63"/>
      <c r="L555" s="63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63"/>
      <c r="K556" s="63"/>
      <c r="L556" s="63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63"/>
      <c r="K557" s="63"/>
      <c r="L557" s="63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63"/>
      <c r="K558" s="63"/>
      <c r="L558" s="63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63"/>
      <c r="K559" s="63"/>
      <c r="L559" s="63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63"/>
      <c r="K560" s="63"/>
      <c r="L560" s="63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63"/>
      <c r="K561" s="63"/>
      <c r="L561" s="63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63"/>
      <c r="K562" s="63"/>
      <c r="L562" s="63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63"/>
      <c r="K563" s="63"/>
      <c r="L563" s="63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63"/>
      <c r="K564" s="63"/>
      <c r="L564" s="63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63"/>
      <c r="K565" s="63"/>
      <c r="L565" s="63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63"/>
      <c r="K566" s="63"/>
      <c r="L566" s="63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63"/>
      <c r="K567" s="63"/>
      <c r="L567" s="63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63"/>
      <c r="K568" s="63"/>
      <c r="L568" s="63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63"/>
      <c r="K569" s="63"/>
      <c r="L569" s="63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63"/>
      <c r="K570" s="63"/>
      <c r="L570" s="63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63"/>
      <c r="K571" s="63"/>
      <c r="L571" s="63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63"/>
      <c r="K572" s="63"/>
      <c r="L572" s="63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63"/>
      <c r="K573" s="63"/>
      <c r="L573" s="63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63"/>
      <c r="K574" s="63"/>
      <c r="L574" s="63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63"/>
      <c r="K575" s="63"/>
      <c r="L575" s="63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63"/>
      <c r="K576" s="63"/>
      <c r="L576" s="63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63"/>
      <c r="K577" s="63"/>
      <c r="L577" s="63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63"/>
      <c r="K578" s="63"/>
      <c r="L578" s="63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63"/>
      <c r="K579" s="63"/>
      <c r="L579" s="63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63"/>
      <c r="K580" s="63"/>
      <c r="L580" s="63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63"/>
      <c r="K581" s="63"/>
      <c r="L581" s="63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63"/>
      <c r="K582" s="63"/>
      <c r="L582" s="63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63"/>
      <c r="K583" s="63"/>
      <c r="L583" s="63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63"/>
      <c r="K584" s="63"/>
      <c r="L584" s="63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63"/>
      <c r="K585" s="63"/>
      <c r="L585" s="63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63"/>
      <c r="K586" s="63"/>
      <c r="L586" s="63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63"/>
      <c r="K587" s="63"/>
      <c r="L587" s="63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63"/>
      <c r="K588" s="63"/>
      <c r="L588" s="63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63"/>
      <c r="K589" s="63"/>
      <c r="L589" s="63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63"/>
      <c r="K590" s="63"/>
      <c r="L590" s="63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63"/>
      <c r="K591" s="63"/>
      <c r="L591" s="63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63"/>
      <c r="K592" s="63"/>
      <c r="L592" s="63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63"/>
      <c r="K593" s="63"/>
      <c r="L593" s="63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63"/>
      <c r="K594" s="63"/>
      <c r="L594" s="63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63"/>
      <c r="K595" s="63"/>
      <c r="L595" s="63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63"/>
      <c r="K596" s="63"/>
      <c r="L596" s="63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63"/>
      <c r="K597" s="63"/>
      <c r="L597" s="63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63"/>
      <c r="K598" s="63"/>
      <c r="L598" s="63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63"/>
      <c r="K599" s="63"/>
      <c r="L599" s="63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63"/>
      <c r="K600" s="63"/>
      <c r="L600" s="63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63"/>
      <c r="K601" s="63"/>
      <c r="L601" s="63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63"/>
      <c r="K602" s="63"/>
      <c r="L602" s="63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63"/>
      <c r="K603" s="63"/>
      <c r="L603" s="63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63"/>
      <c r="K604" s="63"/>
      <c r="L604" s="63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63"/>
      <c r="K605" s="63"/>
      <c r="L605" s="63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63"/>
      <c r="K606" s="63"/>
      <c r="L606" s="63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63"/>
      <c r="K607" s="63"/>
      <c r="L607" s="63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63"/>
      <c r="K608" s="63"/>
      <c r="L608" s="63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63"/>
      <c r="K609" s="63"/>
      <c r="L609" s="63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63"/>
      <c r="K610" s="63"/>
      <c r="L610" s="63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63"/>
      <c r="K611" s="63"/>
      <c r="L611" s="63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63"/>
      <c r="K612" s="63"/>
      <c r="L612" s="63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63"/>
      <c r="K613" s="63"/>
      <c r="L613" s="63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63"/>
      <c r="K614" s="63"/>
      <c r="L614" s="63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63"/>
      <c r="K615" s="63"/>
      <c r="L615" s="63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63"/>
      <c r="K616" s="63"/>
      <c r="L616" s="63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63"/>
      <c r="K617" s="63"/>
      <c r="L617" s="63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63"/>
      <c r="K618" s="63"/>
      <c r="L618" s="63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63"/>
      <c r="K619" s="63"/>
      <c r="L619" s="63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63"/>
      <c r="K620" s="63"/>
      <c r="L620" s="63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63"/>
      <c r="K621" s="63"/>
      <c r="L621" s="63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63"/>
      <c r="K622" s="63"/>
      <c r="L622" s="63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63"/>
      <c r="K623" s="63"/>
      <c r="L623" s="63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63"/>
      <c r="K624" s="63"/>
      <c r="L624" s="63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63"/>
      <c r="K625" s="63"/>
      <c r="L625" s="63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63"/>
      <c r="K626" s="63"/>
      <c r="L626" s="63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63"/>
      <c r="K627" s="63"/>
      <c r="L627" s="63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63"/>
      <c r="K628" s="63"/>
      <c r="L628" s="63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63"/>
      <c r="K629" s="63"/>
      <c r="L629" s="63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63"/>
      <c r="K630" s="63"/>
      <c r="L630" s="63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63"/>
      <c r="K631" s="63"/>
      <c r="L631" s="63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63"/>
      <c r="K632" s="63"/>
      <c r="L632" s="63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63"/>
      <c r="K633" s="63"/>
      <c r="L633" s="63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63"/>
      <c r="K634" s="63"/>
      <c r="L634" s="63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63"/>
      <c r="K635" s="63"/>
      <c r="L635" s="63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63"/>
      <c r="K636" s="63"/>
      <c r="L636" s="63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63"/>
      <c r="K637" s="63"/>
      <c r="L637" s="63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63"/>
      <c r="K638" s="63"/>
      <c r="L638" s="63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63"/>
      <c r="K639" s="63"/>
      <c r="L639" s="63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63"/>
      <c r="K640" s="63"/>
      <c r="L640" s="63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63"/>
      <c r="K641" s="63"/>
      <c r="L641" s="63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63"/>
      <c r="K642" s="63"/>
      <c r="L642" s="63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63"/>
      <c r="K643" s="63"/>
      <c r="L643" s="63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63"/>
      <c r="K644" s="63"/>
      <c r="L644" s="63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63"/>
      <c r="K645" s="63"/>
      <c r="L645" s="63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63"/>
      <c r="K646" s="63"/>
      <c r="L646" s="63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63"/>
      <c r="K647" s="63"/>
      <c r="L647" s="63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63"/>
      <c r="K648" s="63"/>
      <c r="L648" s="63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63"/>
      <c r="K649" s="63"/>
      <c r="L649" s="63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63"/>
      <c r="K650" s="63"/>
      <c r="L650" s="63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63"/>
      <c r="K651" s="63"/>
      <c r="L651" s="63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63"/>
      <c r="K652" s="63"/>
      <c r="L652" s="63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63"/>
      <c r="K653" s="63"/>
      <c r="L653" s="63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63"/>
      <c r="K654" s="63"/>
      <c r="L654" s="63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63"/>
      <c r="K655" s="63"/>
      <c r="L655" s="63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63"/>
      <c r="K656" s="63"/>
      <c r="L656" s="63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63"/>
      <c r="K657" s="63"/>
      <c r="L657" s="63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63"/>
      <c r="K658" s="63"/>
      <c r="L658" s="63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63"/>
      <c r="K659" s="63"/>
      <c r="L659" s="63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63"/>
      <c r="K660" s="63"/>
      <c r="L660" s="63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63"/>
      <c r="K661" s="63"/>
      <c r="L661" s="63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63"/>
      <c r="K662" s="63"/>
      <c r="L662" s="63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63"/>
      <c r="K663" s="63"/>
      <c r="L663" s="63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63"/>
      <c r="K664" s="63"/>
      <c r="L664" s="63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63"/>
      <c r="K665" s="63"/>
      <c r="L665" s="63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63"/>
      <c r="K666" s="63"/>
      <c r="L666" s="63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63"/>
      <c r="K667" s="63"/>
      <c r="L667" s="63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63"/>
      <c r="K668" s="63"/>
      <c r="L668" s="63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63"/>
      <c r="K669" s="63"/>
      <c r="L669" s="63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63"/>
      <c r="K670" s="63"/>
      <c r="L670" s="63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63"/>
      <c r="K671" s="63"/>
      <c r="L671" s="63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63"/>
      <c r="K672" s="63"/>
      <c r="L672" s="63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63"/>
      <c r="K673" s="63"/>
      <c r="L673" s="63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63"/>
      <c r="K674" s="63"/>
      <c r="L674" s="63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63"/>
      <c r="K675" s="63"/>
      <c r="L675" s="63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63"/>
      <c r="K676" s="63"/>
      <c r="L676" s="63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63"/>
      <c r="K677" s="63"/>
      <c r="L677" s="63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63"/>
      <c r="K678" s="63"/>
      <c r="L678" s="63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63"/>
      <c r="K679" s="63"/>
      <c r="L679" s="63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63"/>
      <c r="K680" s="63"/>
      <c r="L680" s="63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63"/>
      <c r="K681" s="63"/>
      <c r="L681" s="63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63"/>
      <c r="K682" s="63"/>
      <c r="L682" s="63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63"/>
      <c r="K683" s="63"/>
      <c r="L683" s="63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63"/>
      <c r="K684" s="63"/>
      <c r="L684" s="63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63"/>
      <c r="K685" s="63"/>
      <c r="L685" s="63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63"/>
      <c r="K686" s="63"/>
      <c r="L686" s="63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63"/>
      <c r="K687" s="63"/>
      <c r="L687" s="63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63"/>
      <c r="K688" s="63"/>
      <c r="L688" s="63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63"/>
      <c r="K689" s="63"/>
      <c r="L689" s="63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63"/>
      <c r="K690" s="63"/>
      <c r="L690" s="63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63"/>
      <c r="K691" s="63"/>
      <c r="L691" s="63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63"/>
      <c r="K692" s="63"/>
      <c r="L692" s="63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63"/>
      <c r="K693" s="63"/>
      <c r="L693" s="63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63"/>
      <c r="K694" s="63"/>
      <c r="L694" s="63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63"/>
      <c r="K695" s="63"/>
      <c r="L695" s="63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63"/>
      <c r="K696" s="63"/>
      <c r="L696" s="63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63"/>
      <c r="K697" s="63"/>
      <c r="L697" s="63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63"/>
      <c r="K698" s="63"/>
      <c r="L698" s="63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63"/>
      <c r="K699" s="63"/>
      <c r="L699" s="63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63"/>
      <c r="K700" s="63"/>
      <c r="L700" s="63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63"/>
      <c r="K701" s="63"/>
      <c r="L701" s="63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63"/>
      <c r="K702" s="63"/>
      <c r="L702" s="63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63"/>
      <c r="K703" s="63"/>
      <c r="L703" s="63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63"/>
      <c r="K704" s="63"/>
      <c r="L704" s="63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63"/>
      <c r="K705" s="63"/>
      <c r="L705" s="63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63"/>
      <c r="K706" s="63"/>
      <c r="L706" s="63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63"/>
      <c r="K707" s="63"/>
      <c r="L707" s="63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63"/>
      <c r="K708" s="63"/>
      <c r="L708" s="63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63"/>
      <c r="K709" s="63"/>
      <c r="L709" s="63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63"/>
      <c r="K710" s="63"/>
      <c r="L710" s="63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63"/>
      <c r="K711" s="63"/>
      <c r="L711" s="63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63"/>
      <c r="K712" s="63"/>
      <c r="L712" s="63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63"/>
      <c r="K713" s="63"/>
      <c r="L713" s="63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63"/>
      <c r="K714" s="63"/>
      <c r="L714" s="63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63"/>
      <c r="K715" s="63"/>
      <c r="L715" s="63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63"/>
      <c r="K716" s="63"/>
      <c r="L716" s="63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63"/>
      <c r="K717" s="63"/>
      <c r="L717" s="63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63"/>
      <c r="K718" s="63"/>
      <c r="L718" s="63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63"/>
      <c r="K719" s="63"/>
      <c r="L719" s="63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63"/>
      <c r="K720" s="63"/>
      <c r="L720" s="63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63"/>
      <c r="K721" s="63"/>
      <c r="L721" s="63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63"/>
      <c r="K722" s="63"/>
      <c r="L722" s="63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63"/>
      <c r="K723" s="63"/>
      <c r="L723" s="63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63"/>
      <c r="K724" s="63"/>
      <c r="L724" s="63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63"/>
      <c r="K725" s="63"/>
      <c r="L725" s="63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63"/>
      <c r="K726" s="63"/>
      <c r="L726" s="63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63"/>
      <c r="K727" s="63"/>
      <c r="L727" s="63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63"/>
      <c r="K728" s="63"/>
      <c r="L728" s="63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63"/>
      <c r="K729" s="63"/>
      <c r="L729" s="63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63"/>
      <c r="K730" s="63"/>
      <c r="L730" s="63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63"/>
      <c r="K731" s="63"/>
      <c r="L731" s="63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63"/>
      <c r="K732" s="63"/>
      <c r="L732" s="63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63"/>
      <c r="K733" s="63"/>
      <c r="L733" s="63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63"/>
      <c r="K734" s="63"/>
      <c r="L734" s="63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63"/>
      <c r="K735" s="63"/>
      <c r="L735" s="63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63"/>
      <c r="K736" s="63"/>
      <c r="L736" s="63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63"/>
      <c r="K737" s="63"/>
      <c r="L737" s="63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63"/>
      <c r="K738" s="63"/>
      <c r="L738" s="63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63"/>
      <c r="K739" s="63"/>
      <c r="L739" s="63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63"/>
      <c r="K740" s="63"/>
      <c r="L740" s="63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63"/>
      <c r="K741" s="63"/>
      <c r="L741" s="63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63"/>
      <c r="K742" s="63"/>
      <c r="L742" s="63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63"/>
      <c r="K743" s="63"/>
      <c r="L743" s="63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63"/>
      <c r="K744" s="63"/>
      <c r="L744" s="63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63"/>
      <c r="K745" s="63"/>
      <c r="L745" s="63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63"/>
      <c r="K746" s="63"/>
      <c r="L746" s="63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63"/>
      <c r="K747" s="63"/>
      <c r="L747" s="63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63"/>
      <c r="K748" s="63"/>
      <c r="L748" s="63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63"/>
      <c r="K749" s="63"/>
      <c r="L749" s="63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63"/>
      <c r="K750" s="63"/>
      <c r="L750" s="63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63"/>
      <c r="K751" s="63"/>
      <c r="L751" s="63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63"/>
      <c r="K752" s="63"/>
      <c r="L752" s="63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63"/>
      <c r="K753" s="63"/>
      <c r="L753" s="63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63"/>
      <c r="K754" s="63"/>
      <c r="L754" s="63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63"/>
      <c r="K755" s="63"/>
      <c r="L755" s="63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63"/>
      <c r="K756" s="63"/>
      <c r="L756" s="63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63"/>
      <c r="K757" s="63"/>
      <c r="L757" s="63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63"/>
      <c r="K758" s="63"/>
      <c r="L758" s="63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63"/>
      <c r="K759" s="63"/>
      <c r="L759" s="63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63"/>
      <c r="K760" s="63"/>
      <c r="L760" s="63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63"/>
      <c r="K761" s="63"/>
      <c r="L761" s="63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63"/>
      <c r="K762" s="63"/>
      <c r="L762" s="63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63"/>
      <c r="K763" s="63"/>
      <c r="L763" s="63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63"/>
      <c r="K764" s="63"/>
      <c r="L764" s="63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63"/>
      <c r="K765" s="63"/>
      <c r="L765" s="63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63"/>
      <c r="K766" s="63"/>
      <c r="L766" s="63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63"/>
      <c r="K767" s="63"/>
      <c r="L767" s="63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63"/>
      <c r="K768" s="63"/>
      <c r="L768" s="63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63"/>
      <c r="K769" s="63"/>
      <c r="L769" s="63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63"/>
      <c r="K770" s="63"/>
      <c r="L770" s="63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63"/>
      <c r="K771" s="63"/>
      <c r="L771" s="63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63"/>
      <c r="K772" s="63"/>
      <c r="L772" s="63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63"/>
      <c r="K773" s="63"/>
      <c r="L773" s="63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63"/>
      <c r="K774" s="63"/>
      <c r="L774" s="63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63"/>
      <c r="K775" s="63"/>
      <c r="L775" s="63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63"/>
      <c r="K776" s="63"/>
      <c r="L776" s="63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63"/>
      <c r="K777" s="63"/>
      <c r="L777" s="63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63"/>
      <c r="K778" s="63"/>
      <c r="L778" s="63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63"/>
      <c r="K779" s="63"/>
      <c r="L779" s="63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63"/>
      <c r="K780" s="63"/>
      <c r="L780" s="63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63"/>
      <c r="K781" s="63"/>
      <c r="L781" s="63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63"/>
      <c r="K782" s="63"/>
      <c r="L782" s="63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63"/>
      <c r="K783" s="63"/>
      <c r="L783" s="63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63"/>
      <c r="K784" s="63"/>
      <c r="L784" s="63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63"/>
      <c r="K785" s="63"/>
      <c r="L785" s="63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63"/>
      <c r="K786" s="63"/>
      <c r="L786" s="63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63"/>
      <c r="K787" s="63"/>
      <c r="L787" s="63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63"/>
      <c r="K788" s="63"/>
      <c r="L788" s="63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63"/>
      <c r="K789" s="63"/>
      <c r="L789" s="63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63"/>
      <c r="K790" s="63"/>
      <c r="L790" s="63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63"/>
      <c r="K791" s="63"/>
      <c r="L791" s="63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63"/>
      <c r="K792" s="63"/>
      <c r="L792" s="63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63"/>
      <c r="K793" s="63"/>
      <c r="L793" s="63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63"/>
      <c r="K794" s="63"/>
      <c r="L794" s="63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63"/>
      <c r="K795" s="63"/>
      <c r="L795" s="63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63"/>
      <c r="K796" s="63"/>
      <c r="L796" s="63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63"/>
      <c r="K797" s="63"/>
      <c r="L797" s="63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63"/>
      <c r="K798" s="63"/>
      <c r="L798" s="63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63"/>
      <c r="K799" s="63"/>
      <c r="L799" s="63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63"/>
      <c r="K800" s="63"/>
      <c r="L800" s="63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63"/>
      <c r="K801" s="63"/>
      <c r="L801" s="63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63"/>
      <c r="K802" s="63"/>
      <c r="L802" s="63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63"/>
      <c r="K803" s="63"/>
      <c r="L803" s="63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63"/>
      <c r="K804" s="63"/>
      <c r="L804" s="63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63"/>
      <c r="K805" s="63"/>
      <c r="L805" s="63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63"/>
      <c r="K806" s="63"/>
      <c r="L806" s="63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63"/>
      <c r="K807" s="63"/>
      <c r="L807" s="63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63"/>
      <c r="K808" s="63"/>
      <c r="L808" s="63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63"/>
      <c r="K809" s="63"/>
      <c r="L809" s="63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63"/>
      <c r="K810" s="63"/>
      <c r="L810" s="63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63"/>
      <c r="K811" s="63"/>
      <c r="L811" s="63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63"/>
      <c r="K812" s="63"/>
      <c r="L812" s="63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63"/>
      <c r="K813" s="63"/>
      <c r="L813" s="63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63"/>
      <c r="K814" s="63"/>
      <c r="L814" s="63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63"/>
      <c r="K815" s="63"/>
      <c r="L815" s="63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63"/>
      <c r="K816" s="63"/>
      <c r="L816" s="63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63"/>
      <c r="K817" s="63"/>
      <c r="L817" s="63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63"/>
      <c r="K818" s="63"/>
      <c r="L818" s="63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63"/>
      <c r="K819" s="63"/>
      <c r="L819" s="63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63"/>
      <c r="K820" s="63"/>
      <c r="L820" s="63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63"/>
      <c r="K821" s="63"/>
      <c r="L821" s="63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63"/>
      <c r="K822" s="63"/>
      <c r="L822" s="63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63"/>
      <c r="K823" s="63"/>
      <c r="L823" s="63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63"/>
      <c r="K824" s="63"/>
      <c r="L824" s="63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63"/>
      <c r="K825" s="63"/>
      <c r="L825" s="63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63"/>
      <c r="K826" s="63"/>
      <c r="L826" s="63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63"/>
      <c r="K827" s="63"/>
      <c r="L827" s="63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63"/>
      <c r="K828" s="63"/>
      <c r="L828" s="63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63"/>
      <c r="K829" s="63"/>
      <c r="L829" s="63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63"/>
      <c r="K830" s="63"/>
      <c r="L830" s="63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63"/>
      <c r="K831" s="63"/>
      <c r="L831" s="63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63"/>
      <c r="K832" s="63"/>
      <c r="L832" s="63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63"/>
      <c r="K833" s="63"/>
      <c r="L833" s="63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63"/>
      <c r="K834" s="63"/>
      <c r="L834" s="63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63"/>
      <c r="K835" s="63"/>
      <c r="L835" s="63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63"/>
      <c r="K836" s="63"/>
      <c r="L836" s="63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63"/>
      <c r="K837" s="63"/>
      <c r="L837" s="63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63"/>
      <c r="K838" s="63"/>
      <c r="L838" s="63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63"/>
      <c r="K839" s="63"/>
      <c r="L839" s="63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63"/>
      <c r="K840" s="63"/>
      <c r="L840" s="63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63"/>
      <c r="K841" s="63"/>
      <c r="L841" s="63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63"/>
      <c r="K842" s="63"/>
      <c r="L842" s="63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63"/>
      <c r="K843" s="63"/>
      <c r="L843" s="63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63"/>
      <c r="K844" s="63"/>
      <c r="L844" s="63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63"/>
      <c r="K845" s="63"/>
      <c r="L845" s="63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63"/>
      <c r="K846" s="63"/>
      <c r="L846" s="63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63"/>
      <c r="K847" s="63"/>
      <c r="L847" s="63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63"/>
      <c r="K848" s="63"/>
      <c r="L848" s="63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63"/>
      <c r="K849" s="63"/>
      <c r="L849" s="63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63"/>
      <c r="K850" s="63"/>
      <c r="L850" s="63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63"/>
      <c r="K851" s="63"/>
      <c r="L851" s="63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63"/>
      <c r="K852" s="63"/>
      <c r="L852" s="63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63"/>
      <c r="K853" s="63"/>
      <c r="L853" s="63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63"/>
      <c r="K854" s="63"/>
      <c r="L854" s="63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63"/>
      <c r="K855" s="63"/>
      <c r="L855" s="63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63"/>
      <c r="K856" s="63"/>
      <c r="L856" s="63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63"/>
      <c r="K857" s="63"/>
      <c r="L857" s="63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63"/>
      <c r="K858" s="63"/>
      <c r="L858" s="63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63"/>
      <c r="K859" s="63"/>
      <c r="L859" s="63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63"/>
      <c r="K860" s="63"/>
      <c r="L860" s="63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63"/>
      <c r="K861" s="63"/>
      <c r="L861" s="63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63"/>
      <c r="K862" s="63"/>
      <c r="L862" s="63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63"/>
      <c r="K863" s="63"/>
      <c r="L863" s="63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63"/>
      <c r="K864" s="63"/>
      <c r="L864" s="63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63"/>
      <c r="K865" s="63"/>
      <c r="L865" s="63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63"/>
      <c r="K866" s="63"/>
      <c r="L866" s="63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63"/>
      <c r="K867" s="63"/>
      <c r="L867" s="63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63"/>
      <c r="K868" s="63"/>
      <c r="L868" s="63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63"/>
      <c r="K869" s="63"/>
      <c r="L869" s="63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63"/>
      <c r="K870" s="63"/>
      <c r="L870" s="63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63"/>
      <c r="K871" s="63"/>
      <c r="L871" s="63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63"/>
      <c r="K872" s="63"/>
      <c r="L872" s="63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63"/>
      <c r="K873" s="63"/>
      <c r="L873" s="63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63"/>
      <c r="K874" s="63"/>
      <c r="L874" s="63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63"/>
      <c r="K875" s="63"/>
      <c r="L875" s="63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63"/>
      <c r="K876" s="63"/>
      <c r="L876" s="63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63"/>
      <c r="K877" s="63"/>
      <c r="L877" s="63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63"/>
      <c r="K878" s="63"/>
      <c r="L878" s="63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63"/>
      <c r="K879" s="63"/>
      <c r="L879" s="63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63"/>
      <c r="K880" s="63"/>
      <c r="L880" s="63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63"/>
      <c r="K881" s="63"/>
      <c r="L881" s="63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63"/>
      <c r="K882" s="63"/>
      <c r="L882" s="63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63"/>
      <c r="K883" s="63"/>
      <c r="L883" s="63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63"/>
      <c r="K884" s="63"/>
      <c r="L884" s="63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63"/>
      <c r="K885" s="63"/>
      <c r="L885" s="63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63"/>
      <c r="K886" s="63"/>
      <c r="L886" s="63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63"/>
      <c r="K887" s="63"/>
      <c r="L887" s="63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63"/>
      <c r="K888" s="63"/>
      <c r="L888" s="63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63"/>
      <c r="K889" s="63"/>
      <c r="L889" s="63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63"/>
      <c r="K890" s="63"/>
      <c r="L890" s="63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63"/>
      <c r="K891" s="63"/>
      <c r="L891" s="63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63"/>
      <c r="K892" s="63"/>
      <c r="L892" s="63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63"/>
      <c r="K893" s="63"/>
      <c r="L893" s="63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63"/>
      <c r="K894" s="63"/>
      <c r="L894" s="63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63"/>
      <c r="K895" s="63"/>
      <c r="L895" s="63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63"/>
      <c r="K896" s="63"/>
      <c r="L896" s="63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63"/>
      <c r="K897" s="63"/>
      <c r="L897" s="63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63"/>
      <c r="K898" s="63"/>
      <c r="L898" s="63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63"/>
      <c r="K899" s="63"/>
      <c r="L899" s="63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63"/>
      <c r="K900" s="63"/>
      <c r="L900" s="63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63"/>
      <c r="K901" s="63"/>
      <c r="L901" s="63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63"/>
      <c r="K902" s="63"/>
      <c r="L902" s="63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63"/>
      <c r="K903" s="63"/>
      <c r="L903" s="63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63"/>
      <c r="K904" s="63"/>
      <c r="L904" s="63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63"/>
      <c r="K905" s="63"/>
      <c r="L905" s="63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63"/>
      <c r="K906" s="63"/>
      <c r="L906" s="63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63"/>
      <c r="K907" s="63"/>
      <c r="L907" s="63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63"/>
      <c r="K908" s="63"/>
      <c r="L908" s="63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63"/>
      <c r="K909" s="63"/>
      <c r="L909" s="63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63"/>
      <c r="K910" s="63"/>
      <c r="L910" s="63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63"/>
      <c r="K911" s="63"/>
      <c r="L911" s="63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63"/>
      <c r="K912" s="63"/>
      <c r="L912" s="63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63"/>
      <c r="K913" s="63"/>
      <c r="L913" s="63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63"/>
      <c r="K914" s="63"/>
      <c r="L914" s="63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63"/>
      <c r="K915" s="63"/>
      <c r="L915" s="63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63"/>
      <c r="K916" s="63"/>
      <c r="L916" s="63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63"/>
      <c r="K917" s="63"/>
      <c r="L917" s="63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63"/>
      <c r="K918" s="63"/>
      <c r="L918" s="63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63"/>
      <c r="K919" s="63"/>
      <c r="L919" s="63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63"/>
      <c r="K920" s="63"/>
      <c r="L920" s="63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63"/>
      <c r="K921" s="63"/>
      <c r="L921" s="63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63"/>
      <c r="K922" s="63"/>
      <c r="L922" s="63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63"/>
      <c r="K923" s="63"/>
      <c r="L923" s="63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63"/>
      <c r="K924" s="63"/>
      <c r="L924" s="63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63"/>
      <c r="K925" s="63"/>
      <c r="L925" s="63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63"/>
      <c r="K926" s="63"/>
      <c r="L926" s="63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63"/>
      <c r="K927" s="63"/>
      <c r="L927" s="63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63"/>
      <c r="K928" s="63"/>
      <c r="L928" s="63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63"/>
      <c r="K929" s="63"/>
      <c r="L929" s="63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63"/>
      <c r="K930" s="63"/>
      <c r="L930" s="63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63"/>
      <c r="K931" s="63"/>
      <c r="L931" s="63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63"/>
      <c r="K932" s="63"/>
      <c r="L932" s="63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63"/>
      <c r="K933" s="63"/>
      <c r="L933" s="63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63"/>
      <c r="K934" s="63"/>
      <c r="L934" s="63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63"/>
      <c r="K935" s="63"/>
      <c r="L935" s="63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63"/>
      <c r="K936" s="63"/>
      <c r="L936" s="63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63"/>
      <c r="K937" s="63"/>
      <c r="L937" s="63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63"/>
      <c r="K938" s="63"/>
      <c r="L938" s="63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63"/>
      <c r="K939" s="63"/>
      <c r="L939" s="63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63"/>
      <c r="K940" s="63"/>
      <c r="L940" s="63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63"/>
      <c r="K941" s="63"/>
      <c r="L941" s="63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63"/>
      <c r="K942" s="63"/>
      <c r="L942" s="63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63"/>
      <c r="K943" s="63"/>
      <c r="L943" s="63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63"/>
      <c r="K944" s="63"/>
      <c r="L944" s="63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63"/>
      <c r="K945" s="63"/>
      <c r="L945" s="63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63"/>
      <c r="K946" s="63"/>
      <c r="L946" s="63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63"/>
      <c r="K947" s="63"/>
      <c r="L947" s="63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63"/>
      <c r="K948" s="63"/>
      <c r="L948" s="63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63"/>
      <c r="K949" s="63"/>
      <c r="L949" s="63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63"/>
      <c r="K950" s="63"/>
      <c r="L950" s="63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63"/>
      <c r="K951" s="63"/>
      <c r="L951" s="63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63"/>
      <c r="K952" s="63"/>
      <c r="L952" s="63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63"/>
      <c r="K953" s="63"/>
      <c r="L953" s="63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63"/>
      <c r="K954" s="63"/>
      <c r="L954" s="63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63"/>
      <c r="K955" s="63"/>
      <c r="L955" s="63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63"/>
      <c r="K956" s="63"/>
      <c r="L956" s="63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63"/>
      <c r="K957" s="63"/>
      <c r="L957" s="63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63"/>
      <c r="K958" s="63"/>
      <c r="L958" s="63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63"/>
      <c r="K959" s="63"/>
      <c r="L959" s="63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63"/>
      <c r="K960" s="63"/>
      <c r="L960" s="63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63"/>
      <c r="K961" s="63"/>
      <c r="L961" s="63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63"/>
      <c r="K962" s="63"/>
      <c r="L962" s="63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63"/>
      <c r="K963" s="63"/>
      <c r="L963" s="63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63"/>
      <c r="K964" s="63"/>
      <c r="L964" s="63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63"/>
      <c r="K965" s="63"/>
      <c r="L965" s="63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63"/>
      <c r="K966" s="63"/>
      <c r="L966" s="63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63"/>
      <c r="K967" s="63"/>
      <c r="L967" s="63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63"/>
      <c r="K968" s="63"/>
      <c r="L968" s="63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63"/>
      <c r="K969" s="63"/>
      <c r="L969" s="63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63"/>
      <c r="K970" s="63"/>
      <c r="L970" s="63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63"/>
      <c r="K971" s="63"/>
      <c r="L971" s="63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63"/>
      <c r="K972" s="63"/>
      <c r="L972" s="63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63"/>
      <c r="K973" s="63"/>
      <c r="L973" s="63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63"/>
      <c r="K974" s="63"/>
      <c r="L974" s="63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63"/>
      <c r="K975" s="63"/>
      <c r="L975" s="63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63"/>
      <c r="K976" s="63"/>
      <c r="L976" s="63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63"/>
      <c r="K977" s="63"/>
      <c r="L977" s="63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63"/>
      <c r="K978" s="63"/>
      <c r="L978" s="63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63"/>
      <c r="K979" s="63"/>
      <c r="L979" s="63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63"/>
      <c r="K980" s="63"/>
      <c r="L980" s="63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63"/>
      <c r="K981" s="63"/>
      <c r="L981" s="63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63"/>
      <c r="K982" s="63"/>
      <c r="L982" s="63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63"/>
      <c r="K983" s="63"/>
      <c r="L983" s="63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63"/>
      <c r="K984" s="63"/>
      <c r="L984" s="63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63"/>
      <c r="K985" s="63"/>
      <c r="L985" s="63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63"/>
      <c r="K986" s="63"/>
      <c r="L986" s="63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63"/>
      <c r="K987" s="63"/>
      <c r="L987" s="63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63"/>
      <c r="K988" s="63"/>
      <c r="L988" s="63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63"/>
      <c r="K989" s="63"/>
      <c r="L989" s="63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63"/>
      <c r="K990" s="63"/>
      <c r="L990" s="63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63"/>
      <c r="K991" s="63"/>
      <c r="L991" s="63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63"/>
      <c r="K992" s="63"/>
      <c r="L992" s="63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63"/>
      <c r="K993" s="63"/>
      <c r="L993" s="63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63"/>
      <c r="K994" s="63"/>
      <c r="L994" s="63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63"/>
      <c r="K995" s="63"/>
      <c r="L995" s="63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63"/>
      <c r="K996" s="63"/>
      <c r="L996" s="63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63"/>
      <c r="K997" s="63"/>
      <c r="L997" s="63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63"/>
      <c r="K998" s="63"/>
      <c r="L998" s="63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63"/>
      <c r="K999" s="63"/>
      <c r="L999" s="63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63"/>
      <c r="K1000" s="63"/>
      <c r="L1000" s="63"/>
      <c r="M1000" s="3"/>
      <c r="N1000" s="3"/>
      <c r="O1000" s="3"/>
      <c r="Q1000" s="4"/>
      <c r="R1000" s="5"/>
      <c r="S1000" s="5"/>
    </row>
  </sheetData>
  <sheetProtection password="CC27" sheet="1" objects="1" scenarios="1"/>
  <mergeCells count="6">
    <mergeCell ref="D35:K35"/>
    <mergeCell ref="B1:S1"/>
    <mergeCell ref="M2:O2"/>
    <mergeCell ref="Q2:S2"/>
    <mergeCell ref="J3:L3"/>
    <mergeCell ref="D33:K33"/>
  </mergeCells>
  <pageMargins left="0.511811024" right="0.511811024" top="0.78740157499999996" bottom="0.7874015749999999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selection activeCell="E28" sqref="E28"/>
    </sheetView>
  </sheetViews>
  <sheetFormatPr defaultColWidth="14.42578125" defaultRowHeight="15" customHeight="1"/>
  <cols>
    <col min="1" max="1" width="2.7109375" customWidth="1"/>
    <col min="2" max="2" width="7.42578125" customWidth="1"/>
    <col min="3" max="3" width="22.7109375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38.85546875" customWidth="1"/>
    <col min="9" max="9" width="25.5703125" customWidth="1"/>
    <col min="10" max="12" width="9.140625" customWidth="1"/>
    <col min="13" max="13" width="17.42578125" customWidth="1"/>
    <col min="14" max="15" width="15" customWidth="1"/>
    <col min="16" max="16" width="13.5703125" customWidth="1"/>
    <col min="17" max="17" width="16.28515625" customWidth="1"/>
    <col min="18" max="18" width="14.85546875" customWidth="1"/>
    <col min="19" max="19" width="18" customWidth="1"/>
    <col min="20" max="37" width="8.7109375" customWidth="1"/>
  </cols>
  <sheetData>
    <row r="1" spans="1:37" ht="24.75" customHeight="1">
      <c r="A1" s="64"/>
      <c r="B1" s="312" t="s">
        <v>507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2.25" customHeight="1">
      <c r="A2" s="64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  <c r="M2" s="314" t="s">
        <v>1</v>
      </c>
      <c r="N2" s="308"/>
      <c r="O2" s="309"/>
      <c r="P2" s="65" t="s">
        <v>34</v>
      </c>
      <c r="Q2" s="315" t="s">
        <v>35</v>
      </c>
      <c r="R2" s="308"/>
      <c r="S2" s="309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0.75" customHeight="1">
      <c r="B3" s="66" t="s">
        <v>36</v>
      </c>
      <c r="C3" s="213" t="s">
        <v>37</v>
      </c>
      <c r="D3" s="68" t="s">
        <v>38</v>
      </c>
      <c r="E3" s="69" t="s">
        <v>39</v>
      </c>
      <c r="F3" s="69" t="s">
        <v>40</v>
      </c>
      <c r="G3" s="70" t="s">
        <v>41</v>
      </c>
      <c r="H3" s="69" t="s">
        <v>42</v>
      </c>
      <c r="I3" s="69" t="s">
        <v>43</v>
      </c>
      <c r="J3" s="316" t="s">
        <v>44</v>
      </c>
      <c r="K3" s="317"/>
      <c r="L3" s="318"/>
      <c r="M3" s="214" t="s">
        <v>5</v>
      </c>
      <c r="N3" s="215" t="s">
        <v>6</v>
      </c>
      <c r="O3" s="216" t="s">
        <v>7</v>
      </c>
      <c r="P3" s="216" t="s">
        <v>5</v>
      </c>
      <c r="Q3" s="217" t="s">
        <v>9</v>
      </c>
      <c r="R3" s="218" t="s">
        <v>10</v>
      </c>
      <c r="S3" s="219" t="s">
        <v>46</v>
      </c>
    </row>
    <row r="4" spans="1:37" ht="27" customHeight="1">
      <c r="A4" s="21"/>
      <c r="B4" s="75">
        <v>1</v>
      </c>
      <c r="C4" s="204" t="s">
        <v>508</v>
      </c>
      <c r="D4" s="205" t="s">
        <v>509</v>
      </c>
      <c r="E4" s="220" t="s">
        <v>979</v>
      </c>
      <c r="F4" s="221" t="s">
        <v>510</v>
      </c>
      <c r="G4" s="77" t="s">
        <v>511</v>
      </c>
      <c r="H4" s="82" t="str">
        <f t="shared" ref="H4:H27" si="0">UPPER(G4)</f>
        <v>VISITA DE BENCHMARKING AOS  HOSPITAIS ICESP E AC CAMARGO</v>
      </c>
      <c r="I4" s="82" t="s">
        <v>316</v>
      </c>
      <c r="J4" s="83">
        <v>43647</v>
      </c>
      <c r="K4" s="84">
        <v>17</v>
      </c>
      <c r="L4" s="84">
        <v>17</v>
      </c>
      <c r="M4" s="274"/>
      <c r="N4" s="274"/>
      <c r="O4" s="274"/>
      <c r="P4" s="275"/>
      <c r="Q4" s="276">
        <v>915.83</v>
      </c>
      <c r="R4" s="277">
        <v>0</v>
      </c>
      <c r="S4" s="278">
        <f t="shared" ref="S4:S27" si="1">M4+N4+O4+P4+Q4+R4</f>
        <v>915.83</v>
      </c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ht="29.25" customHeight="1">
      <c r="A5" s="21"/>
      <c r="B5" s="86">
        <v>2</v>
      </c>
      <c r="C5" s="199" t="s">
        <v>512</v>
      </c>
      <c r="D5" s="177" t="s">
        <v>513</v>
      </c>
      <c r="E5" s="222" t="s">
        <v>980</v>
      </c>
      <c r="F5" s="160" t="s">
        <v>514</v>
      </c>
      <c r="G5" s="88" t="s">
        <v>511</v>
      </c>
      <c r="H5" s="93" t="str">
        <f t="shared" si="0"/>
        <v>VISITA DE BENCHMARKING AOS  HOSPITAIS ICESP E AC CAMARGO</v>
      </c>
      <c r="I5" s="93" t="s">
        <v>316</v>
      </c>
      <c r="J5" s="94">
        <v>43647</v>
      </c>
      <c r="K5" s="95">
        <v>17</v>
      </c>
      <c r="L5" s="95">
        <v>17</v>
      </c>
      <c r="M5" s="279">
        <v>60.7</v>
      </c>
      <c r="N5" s="279">
        <v>130.30000000000001</v>
      </c>
      <c r="O5" s="279"/>
      <c r="P5" s="280">
        <v>0</v>
      </c>
      <c r="Q5" s="281">
        <v>915.83</v>
      </c>
      <c r="R5" s="282">
        <v>0</v>
      </c>
      <c r="S5" s="283">
        <f t="shared" si="1"/>
        <v>1106.83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36.75" customHeight="1">
      <c r="A6" s="21"/>
      <c r="B6" s="86">
        <v>3</v>
      </c>
      <c r="C6" s="195" t="s">
        <v>515</v>
      </c>
      <c r="D6" s="177" t="s">
        <v>516</v>
      </c>
      <c r="E6" s="222" t="s">
        <v>981</v>
      </c>
      <c r="F6" s="160" t="s">
        <v>517</v>
      </c>
      <c r="G6" s="88" t="s">
        <v>518</v>
      </c>
      <c r="H6" s="93" t="str">
        <f t="shared" si="0"/>
        <v>VISITA AOS HOSPITAIS INSTITUTO DO CÂNCER DO ESTADO DE SÃO PAULO (ICESP) E AC CAMARGO PARA BENCHMARKING.</v>
      </c>
      <c r="I6" s="93" t="s">
        <v>316</v>
      </c>
      <c r="J6" s="94">
        <v>43647</v>
      </c>
      <c r="K6" s="95">
        <v>17</v>
      </c>
      <c r="L6" s="177">
        <v>17</v>
      </c>
      <c r="M6" s="279">
        <v>28.39</v>
      </c>
      <c r="N6" s="279">
        <v>106.8</v>
      </c>
      <c r="O6" s="279"/>
      <c r="P6" s="280">
        <f>29+33</f>
        <v>62</v>
      </c>
      <c r="Q6" s="281">
        <v>915.83</v>
      </c>
      <c r="R6" s="282">
        <v>0</v>
      </c>
      <c r="S6" s="283">
        <f t="shared" si="1"/>
        <v>1113.02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ht="70.5" customHeight="1">
      <c r="A7" s="21"/>
      <c r="B7" s="86">
        <v>4</v>
      </c>
      <c r="C7" s="199" t="s">
        <v>519</v>
      </c>
      <c r="D7" s="177" t="s">
        <v>520</v>
      </c>
      <c r="E7" s="222" t="s">
        <v>982</v>
      </c>
      <c r="F7" s="160" t="s">
        <v>521</v>
      </c>
      <c r="G7" s="88" t="s">
        <v>522</v>
      </c>
      <c r="H7" s="93" t="str">
        <f t="shared" si="0"/>
        <v>VIAGEM A SERVIÇO PARA CONHECER AS ÁREAS DE ONCOLOGIA DOS HOSPITAIS ICESP E AC CAMARGO EM SÃO PAULO, COM O OBJETIVO DE TRAZER INFORMAÇÕES PARA O PROJETO DO CENTRO INTEGRADO DE ONCOLOGIA DO 4O PAVIMENTO DO BLOCO C (ANEXO II).</v>
      </c>
      <c r="I7" s="93" t="s">
        <v>316</v>
      </c>
      <c r="J7" s="94">
        <v>43647</v>
      </c>
      <c r="K7" s="95">
        <v>17</v>
      </c>
      <c r="L7" s="177">
        <v>17</v>
      </c>
      <c r="M7" s="279">
        <v>58.69</v>
      </c>
      <c r="N7" s="279">
        <v>125.9</v>
      </c>
      <c r="O7" s="279"/>
      <c r="P7" s="280">
        <v>30</v>
      </c>
      <c r="Q7" s="281">
        <v>915.83</v>
      </c>
      <c r="R7" s="282">
        <v>0</v>
      </c>
      <c r="S7" s="283">
        <f t="shared" si="1"/>
        <v>1130.42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25.5" customHeight="1">
      <c r="A8" s="21"/>
      <c r="B8" s="86">
        <v>5</v>
      </c>
      <c r="C8" s="199" t="s">
        <v>523</v>
      </c>
      <c r="D8" s="177" t="s">
        <v>524</v>
      </c>
      <c r="E8" s="222" t="s">
        <v>983</v>
      </c>
      <c r="F8" s="181" t="s">
        <v>525</v>
      </c>
      <c r="G8" s="88" t="s">
        <v>526</v>
      </c>
      <c r="H8" s="93" t="str">
        <f t="shared" si="0"/>
        <v>VISITA DE BENCHMARKING AOS HOSPITAIS ICESP E A.C CAMARGO</v>
      </c>
      <c r="I8" s="93" t="s">
        <v>316</v>
      </c>
      <c r="J8" s="94">
        <v>43647</v>
      </c>
      <c r="K8" s="92">
        <v>17</v>
      </c>
      <c r="L8" s="92">
        <v>17</v>
      </c>
      <c r="M8" s="279"/>
      <c r="N8" s="279"/>
      <c r="O8" s="279"/>
      <c r="P8" s="280">
        <v>0</v>
      </c>
      <c r="Q8" s="281">
        <v>915.83</v>
      </c>
      <c r="R8" s="282">
        <v>0</v>
      </c>
      <c r="S8" s="283">
        <f t="shared" si="1"/>
        <v>915.83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46.5" customHeight="1">
      <c r="A9" s="21"/>
      <c r="B9" s="86">
        <v>6</v>
      </c>
      <c r="C9" s="199" t="s">
        <v>527</v>
      </c>
      <c r="D9" s="223" t="s">
        <v>528</v>
      </c>
      <c r="E9" s="222" t="s">
        <v>984</v>
      </c>
      <c r="F9" s="156" t="s">
        <v>529</v>
      </c>
      <c r="G9" s="88" t="s">
        <v>530</v>
      </c>
      <c r="H9" s="93" t="str">
        <f t="shared" si="0"/>
        <v>PARTICIPAÇÃO NO XIII CONGRESSO BRASILEIRO DE MEDICINA DE TRÁFEGO II CONGRESSO BRASILEIRO DE PSICOLOGIA DE TRÁFEGO  - PROJETO SENAD - TED 05/18 SIMULADOR DE TRÂNSITO</v>
      </c>
      <c r="I9" s="93" t="s">
        <v>72</v>
      </c>
      <c r="J9" s="103">
        <v>43709</v>
      </c>
      <c r="K9" s="95">
        <v>12</v>
      </c>
      <c r="L9" s="95">
        <v>14</v>
      </c>
      <c r="M9" s="279">
        <v>100.03</v>
      </c>
      <c r="N9" s="279">
        <v>0</v>
      </c>
      <c r="O9" s="279"/>
      <c r="P9" s="280"/>
      <c r="Q9" s="281">
        <v>1242.3699999999999</v>
      </c>
      <c r="R9" s="282">
        <f>713+114.4</f>
        <v>827.4</v>
      </c>
      <c r="S9" s="283">
        <f t="shared" si="1"/>
        <v>2169.7999999999997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47.25" customHeight="1">
      <c r="A10" s="21"/>
      <c r="B10" s="86">
        <v>7</v>
      </c>
      <c r="C10" s="199" t="s">
        <v>531</v>
      </c>
      <c r="D10" s="177" t="s">
        <v>532</v>
      </c>
      <c r="E10" s="224" t="s">
        <v>985</v>
      </c>
      <c r="F10" s="160" t="s">
        <v>533</v>
      </c>
      <c r="G10" s="88" t="s">
        <v>530</v>
      </c>
      <c r="H10" s="93" t="str">
        <f t="shared" si="0"/>
        <v>PARTICIPAÇÃO NO XIII CONGRESSO BRASILEIRO DE MEDICINA DE TRÁFEGO II CONGRESSO BRASILEIRO DE PSICOLOGIA DE TRÁFEGO  - PROJETO SENAD - TED 05/18 SIMULADOR DE TRÂNSITO</v>
      </c>
      <c r="I10" s="93" t="s">
        <v>72</v>
      </c>
      <c r="J10" s="103">
        <v>43709</v>
      </c>
      <c r="K10" s="95">
        <v>12</v>
      </c>
      <c r="L10" s="95">
        <v>14</v>
      </c>
      <c r="M10" s="279"/>
      <c r="N10" s="279"/>
      <c r="O10" s="279"/>
      <c r="P10" s="280"/>
      <c r="Q10" s="281">
        <v>1242.3699999999999</v>
      </c>
      <c r="R10" s="282">
        <v>0</v>
      </c>
      <c r="S10" s="283">
        <f t="shared" si="1"/>
        <v>1242.3699999999999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47.25" customHeight="1">
      <c r="A11" s="21"/>
      <c r="B11" s="86">
        <v>8</v>
      </c>
      <c r="C11" s="195" t="s">
        <v>534</v>
      </c>
      <c r="D11" s="177" t="s">
        <v>535</v>
      </c>
      <c r="E11" s="224" t="s">
        <v>986</v>
      </c>
      <c r="F11" s="156" t="s">
        <v>529</v>
      </c>
      <c r="G11" s="88" t="s">
        <v>530</v>
      </c>
      <c r="H11" s="93" t="str">
        <f t="shared" si="0"/>
        <v>PARTICIPAÇÃO NO XIII CONGRESSO BRASILEIRO DE MEDICINA DE TRÁFEGO II CONGRESSO BRASILEIRO DE PSICOLOGIA DE TRÁFEGO  - PROJETO SENAD - TED 05/18 SIMULADOR DE TRÂNSITO</v>
      </c>
      <c r="I11" s="93" t="s">
        <v>72</v>
      </c>
      <c r="J11" s="103">
        <v>43709</v>
      </c>
      <c r="K11" s="95">
        <v>12</v>
      </c>
      <c r="L11" s="95">
        <v>14</v>
      </c>
      <c r="M11" s="279"/>
      <c r="N11" s="279"/>
      <c r="O11" s="279"/>
      <c r="P11" s="280"/>
      <c r="Q11" s="281">
        <v>1242.3699999999999</v>
      </c>
      <c r="R11" s="282">
        <v>0</v>
      </c>
      <c r="S11" s="283">
        <f t="shared" si="1"/>
        <v>1242.3699999999999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47.25" customHeight="1">
      <c r="A12" s="21"/>
      <c r="B12" s="86">
        <v>9</v>
      </c>
      <c r="C12" s="195" t="s">
        <v>536</v>
      </c>
      <c r="D12" s="177" t="s">
        <v>537</v>
      </c>
      <c r="E12" s="224" t="s">
        <v>987</v>
      </c>
      <c r="F12" s="156" t="s">
        <v>529</v>
      </c>
      <c r="G12" s="88" t="s">
        <v>530</v>
      </c>
      <c r="H12" s="93" t="str">
        <f t="shared" si="0"/>
        <v>PARTICIPAÇÃO NO XIII CONGRESSO BRASILEIRO DE MEDICINA DE TRÁFEGO II CONGRESSO BRASILEIRO DE PSICOLOGIA DE TRÁFEGO  - PROJETO SENAD - TED 05/18 SIMULADOR DE TRÂNSITO</v>
      </c>
      <c r="I12" s="93" t="s">
        <v>72</v>
      </c>
      <c r="J12" s="103">
        <v>43709</v>
      </c>
      <c r="K12" s="95">
        <v>12</v>
      </c>
      <c r="L12" s="95">
        <v>14</v>
      </c>
      <c r="M12" s="279"/>
      <c r="N12" s="279"/>
      <c r="O12" s="279"/>
      <c r="P12" s="280"/>
      <c r="Q12" s="281">
        <v>1242.3699999999999</v>
      </c>
      <c r="R12" s="282">
        <v>0</v>
      </c>
      <c r="S12" s="283">
        <f t="shared" si="1"/>
        <v>1242.3699999999999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45" customHeight="1">
      <c r="A13" s="21"/>
      <c r="B13" s="86">
        <v>10</v>
      </c>
      <c r="C13" s="195" t="s">
        <v>538</v>
      </c>
      <c r="D13" s="177" t="s">
        <v>539</v>
      </c>
      <c r="E13" s="224" t="s">
        <v>988</v>
      </c>
      <c r="F13" s="156" t="s">
        <v>529</v>
      </c>
      <c r="G13" s="88" t="s">
        <v>530</v>
      </c>
      <c r="H13" s="93" t="str">
        <f t="shared" si="0"/>
        <v>PARTICIPAÇÃO NO XIII CONGRESSO BRASILEIRO DE MEDICINA DE TRÁFEGO II CONGRESSO BRASILEIRO DE PSICOLOGIA DE TRÁFEGO  - PROJETO SENAD - TED 05/18 SIMULADOR DE TRÂNSITO</v>
      </c>
      <c r="I13" s="93" t="s">
        <v>72</v>
      </c>
      <c r="J13" s="103">
        <v>43709</v>
      </c>
      <c r="K13" s="95">
        <v>12</v>
      </c>
      <c r="L13" s="95">
        <v>14</v>
      </c>
      <c r="M13" s="279"/>
      <c r="N13" s="279"/>
      <c r="O13" s="279"/>
      <c r="P13" s="280"/>
      <c r="Q13" s="281">
        <v>1242.3699999999999</v>
      </c>
      <c r="R13" s="282">
        <v>0</v>
      </c>
      <c r="S13" s="283">
        <f t="shared" si="1"/>
        <v>1242.3699999999999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56.25" customHeight="1">
      <c r="A14" s="21"/>
      <c r="B14" s="86">
        <v>11</v>
      </c>
      <c r="C14" s="195" t="s">
        <v>540</v>
      </c>
      <c r="D14" s="177" t="s">
        <v>541</v>
      </c>
      <c r="E14" s="225" t="s">
        <v>542</v>
      </c>
      <c r="F14" s="160" t="s">
        <v>543</v>
      </c>
      <c r="G14" s="88" t="s">
        <v>544</v>
      </c>
      <c r="H14" s="93" t="str">
        <f t="shared" si="0"/>
        <v>DESEMPENHARÁ CONSULTORIA PARA AS ATIVIDADES DO LABORATÓRIO DE SIMULAÇÃO DO TRÂNSITO (TREINAMENTO DA EQUIPE, DESENVOLVIMENTO DE PROTOCOLOS E ANÁLISE DE DADOS) </v>
      </c>
      <c r="I14" s="93" t="s">
        <v>545</v>
      </c>
      <c r="J14" s="103" t="s">
        <v>546</v>
      </c>
      <c r="K14" s="95">
        <v>10</v>
      </c>
      <c r="L14" s="95">
        <v>1</v>
      </c>
      <c r="M14" s="279"/>
      <c r="N14" s="279"/>
      <c r="O14" s="279"/>
      <c r="P14" s="280"/>
      <c r="Q14" s="281">
        <v>9835.91</v>
      </c>
      <c r="R14" s="282">
        <v>0</v>
      </c>
      <c r="S14" s="283">
        <f t="shared" si="1"/>
        <v>9835.91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ht="36" customHeight="1">
      <c r="A15" s="21"/>
      <c r="B15" s="86">
        <v>12</v>
      </c>
      <c r="C15" s="195" t="s">
        <v>547</v>
      </c>
      <c r="D15" s="177" t="s">
        <v>465</v>
      </c>
      <c r="E15" s="222" t="s">
        <v>972</v>
      </c>
      <c r="F15" s="151" t="s">
        <v>548</v>
      </c>
      <c r="G15" s="102" t="s">
        <v>467</v>
      </c>
      <c r="H15" s="93" t="str">
        <f t="shared" si="0"/>
        <v>TREINAMENTO AGHUSE - MÓDULO EXAMES E IMPLANTAÇÃO AGHUSE - MÓDULO PATOLOGIA CIRÚRGICA</v>
      </c>
      <c r="I15" s="95" t="s">
        <v>72</v>
      </c>
      <c r="J15" s="103">
        <v>43647</v>
      </c>
      <c r="K15" s="95">
        <v>15</v>
      </c>
      <c r="L15" s="95">
        <v>17</v>
      </c>
      <c r="M15" s="279">
        <v>42.58</v>
      </c>
      <c r="N15" s="279">
        <v>0</v>
      </c>
      <c r="O15" s="279"/>
      <c r="P15" s="280">
        <f>47.29+22.06+25.54+22.64+27.86+25.54+47.87</f>
        <v>218.79999999999998</v>
      </c>
      <c r="Q15" s="281">
        <f>846+832</f>
        <v>1678</v>
      </c>
      <c r="R15" s="282">
        <v>751.2</v>
      </c>
      <c r="S15" s="283">
        <f t="shared" si="1"/>
        <v>2690.58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15" customHeight="1">
      <c r="A16" s="21"/>
      <c r="B16" s="86">
        <v>13</v>
      </c>
      <c r="C16" s="195" t="s">
        <v>468</v>
      </c>
      <c r="D16" s="177" t="s">
        <v>391</v>
      </c>
      <c r="E16" s="222" t="s">
        <v>973</v>
      </c>
      <c r="F16" s="156" t="s">
        <v>549</v>
      </c>
      <c r="G16" s="102" t="s">
        <v>470</v>
      </c>
      <c r="H16" s="93" t="str">
        <f t="shared" si="0"/>
        <v> PROJETO AGHUSE - EXÉRCITO BRASILEIRO</v>
      </c>
      <c r="I16" s="95" t="s">
        <v>72</v>
      </c>
      <c r="J16" s="103">
        <v>43647</v>
      </c>
      <c r="K16" s="95">
        <v>15</v>
      </c>
      <c r="L16" s="95">
        <v>17</v>
      </c>
      <c r="M16" s="279"/>
      <c r="N16" s="279"/>
      <c r="O16" s="279"/>
      <c r="P16" s="280">
        <v>0</v>
      </c>
      <c r="Q16" s="281">
        <f>927+832</f>
        <v>1759</v>
      </c>
      <c r="R16" s="282">
        <f>621+233.2</f>
        <v>854.2</v>
      </c>
      <c r="S16" s="283">
        <f t="shared" si="1"/>
        <v>2613.1999999999998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26.25" customHeight="1">
      <c r="A17" s="21"/>
      <c r="B17" s="86">
        <v>14</v>
      </c>
      <c r="C17" s="195" t="s">
        <v>550</v>
      </c>
      <c r="D17" s="177" t="s">
        <v>551</v>
      </c>
      <c r="E17" s="222" t="s">
        <v>989</v>
      </c>
      <c r="F17" s="156" t="s">
        <v>552</v>
      </c>
      <c r="G17" s="102" t="s">
        <v>553</v>
      </c>
      <c r="H17" s="93" t="str">
        <f t="shared" si="0"/>
        <v>VIAGEM DE BENCHMARKING AOS HOSPITAIS AC CAMARGO E ICESP</v>
      </c>
      <c r="I17" s="95" t="s">
        <v>316</v>
      </c>
      <c r="J17" s="103">
        <v>43647</v>
      </c>
      <c r="K17" s="95">
        <v>17</v>
      </c>
      <c r="L17" s="95">
        <v>17</v>
      </c>
      <c r="M17" s="279">
        <v>51.26</v>
      </c>
      <c r="N17" s="279">
        <v>138.30000000000001</v>
      </c>
      <c r="O17" s="279"/>
      <c r="P17" s="280">
        <v>0</v>
      </c>
      <c r="Q17" s="281">
        <f>737.98+739.85</f>
        <v>1477.83</v>
      </c>
      <c r="R17" s="282">
        <v>0</v>
      </c>
      <c r="S17" s="283">
        <f t="shared" si="1"/>
        <v>1667.3899999999999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24.75" customHeight="1">
      <c r="A18" s="21"/>
      <c r="B18" s="86">
        <v>15</v>
      </c>
      <c r="C18" s="195" t="s">
        <v>554</v>
      </c>
      <c r="D18" s="177" t="s">
        <v>90</v>
      </c>
      <c r="E18" s="222" t="s">
        <v>936</v>
      </c>
      <c r="F18" s="102" t="s">
        <v>91</v>
      </c>
      <c r="G18" s="102" t="s">
        <v>555</v>
      </c>
      <c r="H18" s="93" t="str">
        <f t="shared" si="0"/>
        <v>MINISTRAR TREINAMENTO AGHUSE - MÓDULOS FATURAMENTO INTERNAÇÃO</v>
      </c>
      <c r="I18" s="95" t="s">
        <v>429</v>
      </c>
      <c r="J18" s="103">
        <v>43647</v>
      </c>
      <c r="K18" s="95">
        <v>15</v>
      </c>
      <c r="L18" s="95">
        <v>19</v>
      </c>
      <c r="M18" s="279"/>
      <c r="N18" s="279"/>
      <c r="O18" s="279"/>
      <c r="P18" s="280">
        <v>0</v>
      </c>
      <c r="Q18" s="281">
        <v>0</v>
      </c>
      <c r="R18" s="282">
        <v>0</v>
      </c>
      <c r="S18" s="283">
        <f t="shared" si="1"/>
        <v>0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5" customHeight="1">
      <c r="A19" s="21"/>
      <c r="B19" s="86">
        <v>16</v>
      </c>
      <c r="C19" s="195" t="s">
        <v>556</v>
      </c>
      <c r="D19" s="95" t="s">
        <v>48</v>
      </c>
      <c r="E19" s="89" t="s">
        <v>903</v>
      </c>
      <c r="F19" s="156" t="s">
        <v>50</v>
      </c>
      <c r="G19" s="95" t="s">
        <v>299</v>
      </c>
      <c r="H19" s="93" t="str">
        <f t="shared" si="0"/>
        <v>REUNIÃO DO CONSELHO DIRETOR</v>
      </c>
      <c r="I19" s="95" t="s">
        <v>290</v>
      </c>
      <c r="J19" s="103">
        <v>43647</v>
      </c>
      <c r="K19" s="95">
        <v>22</v>
      </c>
      <c r="L19" s="95">
        <v>22</v>
      </c>
      <c r="M19" s="279"/>
      <c r="N19" s="279"/>
      <c r="O19" s="279"/>
      <c r="P19" s="280">
        <v>0</v>
      </c>
      <c r="Q19" s="281">
        <v>449</v>
      </c>
      <c r="R19" s="282">
        <v>0</v>
      </c>
      <c r="S19" s="283">
        <f t="shared" si="1"/>
        <v>449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15" customHeight="1">
      <c r="A20" s="21"/>
      <c r="B20" s="86">
        <v>17</v>
      </c>
      <c r="C20" s="195" t="s">
        <v>557</v>
      </c>
      <c r="D20" s="95" t="s">
        <v>147</v>
      </c>
      <c r="E20" s="89" t="s">
        <v>902</v>
      </c>
      <c r="F20" s="156" t="s">
        <v>50</v>
      </c>
      <c r="G20" s="95" t="s">
        <v>299</v>
      </c>
      <c r="H20" s="93" t="str">
        <f t="shared" si="0"/>
        <v>REUNIÃO DO CONSELHO DIRETOR</v>
      </c>
      <c r="I20" s="95" t="s">
        <v>290</v>
      </c>
      <c r="J20" s="103">
        <v>43647</v>
      </c>
      <c r="K20" s="95">
        <v>22</v>
      </c>
      <c r="L20" s="95">
        <v>22</v>
      </c>
      <c r="M20" s="279"/>
      <c r="N20" s="279"/>
      <c r="O20" s="279"/>
      <c r="P20" s="280">
        <v>0</v>
      </c>
      <c r="Q20" s="281">
        <v>1301.5899999999999</v>
      </c>
      <c r="R20" s="282">
        <v>0</v>
      </c>
      <c r="S20" s="283">
        <f t="shared" si="1"/>
        <v>1301.5899999999999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ht="57.75" customHeight="1">
      <c r="A21" s="21"/>
      <c r="B21" s="86">
        <v>18</v>
      </c>
      <c r="C21" s="195" t="s">
        <v>558</v>
      </c>
      <c r="D21" s="95" t="s">
        <v>559</v>
      </c>
      <c r="E21" s="89" t="s">
        <v>990</v>
      </c>
      <c r="F21" s="156" t="s">
        <v>560</v>
      </c>
      <c r="G21" s="102" t="s">
        <v>561</v>
      </c>
      <c r="H21" s="93" t="str">
        <f t="shared" si="0"/>
        <v>REPRESENTAR A INSTITUIÇÃO COMO COORDENADORA ADJUNTA DO MESTRADO PROFISSIONAL EM SAÚDE MENTAL E TRANSTORNOS ADITIVOS NO SEMINÁRIO DE MEIO TERMO DA CAPES/MEC</v>
      </c>
      <c r="I21" s="93" t="s">
        <v>72</v>
      </c>
      <c r="J21" s="103">
        <v>43678</v>
      </c>
      <c r="K21" s="95">
        <v>19</v>
      </c>
      <c r="L21" s="95">
        <v>21</v>
      </c>
      <c r="M21" s="279">
        <v>130.68</v>
      </c>
      <c r="N21" s="279">
        <v>127.69</v>
      </c>
      <c r="O21" s="279"/>
      <c r="P21" s="280">
        <v>0</v>
      </c>
      <c r="Q21" s="281">
        <f>610.98+478.39</f>
        <v>1089.3699999999999</v>
      </c>
      <c r="R21" s="282">
        <f>625.6+22</f>
        <v>647.6</v>
      </c>
      <c r="S21" s="283">
        <f t="shared" si="1"/>
        <v>1995.3399999999997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ht="37.5" customHeight="1">
      <c r="A22" s="21"/>
      <c r="B22" s="86">
        <v>19</v>
      </c>
      <c r="C22" s="195" t="s">
        <v>562</v>
      </c>
      <c r="D22" s="95" t="s">
        <v>84</v>
      </c>
      <c r="E22" s="89" t="s">
        <v>907</v>
      </c>
      <c r="F22" s="156" t="s">
        <v>85</v>
      </c>
      <c r="G22" s="102" t="s">
        <v>563</v>
      </c>
      <c r="H22" s="93" t="str">
        <f t="shared" si="0"/>
        <v>REUNIÃO COM A PROFª MARIA FERNANDA NOGUEIRA BITTENCOURT - SECRETÁRIA EXECUTIVA ADJUNTA DO MINISTÉRIO DA EDUCAÇÃO</v>
      </c>
      <c r="I22" s="93" t="s">
        <v>72</v>
      </c>
      <c r="J22" s="103">
        <v>43647</v>
      </c>
      <c r="K22" s="95">
        <v>23</v>
      </c>
      <c r="L22" s="95">
        <v>23</v>
      </c>
      <c r="M22" s="279"/>
      <c r="N22" s="279">
        <v>54.34</v>
      </c>
      <c r="O22" s="279"/>
      <c r="P22" s="280">
        <v>0</v>
      </c>
      <c r="Q22" s="281">
        <v>2687.37</v>
      </c>
      <c r="R22" s="282">
        <v>500</v>
      </c>
      <c r="S22" s="283">
        <f t="shared" si="1"/>
        <v>3241.71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ht="35.25" customHeight="1">
      <c r="A23" s="21"/>
      <c r="B23" s="86">
        <v>20</v>
      </c>
      <c r="C23" s="195" t="s">
        <v>564</v>
      </c>
      <c r="D23" s="95" t="s">
        <v>565</v>
      </c>
      <c r="E23" s="89" t="s">
        <v>991</v>
      </c>
      <c r="F23" s="156" t="s">
        <v>566</v>
      </c>
      <c r="G23" s="102" t="s">
        <v>563</v>
      </c>
      <c r="H23" s="93" t="str">
        <f t="shared" si="0"/>
        <v>REUNIÃO COM A PROFª MARIA FERNANDA NOGUEIRA BITTENCOURT - SECRETÁRIA EXECUTIVA ADJUNTA DO MINISTÉRIO DA EDUCAÇÃO</v>
      </c>
      <c r="I23" s="93" t="s">
        <v>72</v>
      </c>
      <c r="J23" s="103">
        <v>43647</v>
      </c>
      <c r="K23" s="95">
        <v>22</v>
      </c>
      <c r="L23" s="95">
        <v>23</v>
      </c>
      <c r="M23" s="279">
        <v>32</v>
      </c>
      <c r="N23" s="279">
        <v>82.06</v>
      </c>
      <c r="O23" s="279"/>
      <c r="P23" s="280">
        <v>56</v>
      </c>
      <c r="Q23" s="281">
        <f>979.98+868.39</f>
        <v>1848.37</v>
      </c>
      <c r="R23" s="282">
        <f>378.35+130.3</f>
        <v>508.65000000000003</v>
      </c>
      <c r="S23" s="283">
        <f t="shared" si="1"/>
        <v>2527.08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ht="24.75" customHeight="1">
      <c r="A24" s="21"/>
      <c r="B24" s="86">
        <v>21</v>
      </c>
      <c r="C24" s="195" t="s">
        <v>567</v>
      </c>
      <c r="D24" s="95" t="s">
        <v>568</v>
      </c>
      <c r="E24" s="89" t="s">
        <v>992</v>
      </c>
      <c r="F24" s="151" t="s">
        <v>569</v>
      </c>
      <c r="G24" s="93" t="s">
        <v>570</v>
      </c>
      <c r="H24" s="93" t="str">
        <f t="shared" si="0"/>
        <v>EVENTO AGILE TRENDS GOV TEAMS/MANAGEMENT</v>
      </c>
      <c r="I24" s="93" t="s">
        <v>72</v>
      </c>
      <c r="J24" s="103">
        <v>43678</v>
      </c>
      <c r="K24" s="95">
        <v>20</v>
      </c>
      <c r="L24" s="95">
        <v>23</v>
      </c>
      <c r="M24" s="279">
        <v>162.54</v>
      </c>
      <c r="N24" s="279">
        <v>67.62</v>
      </c>
      <c r="O24" s="279"/>
      <c r="P24" s="280">
        <v>0</v>
      </c>
      <c r="Q24" s="281">
        <v>1273.8699999999999</v>
      </c>
      <c r="R24" s="282">
        <f>822.8+70.4</f>
        <v>893.19999999999993</v>
      </c>
      <c r="S24" s="283">
        <f t="shared" si="1"/>
        <v>2397.23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ht="30" customHeight="1">
      <c r="A25" s="21"/>
      <c r="B25" s="86">
        <v>22</v>
      </c>
      <c r="C25" s="195" t="s">
        <v>571</v>
      </c>
      <c r="D25" s="95" t="s">
        <v>246</v>
      </c>
      <c r="E25" s="89" t="s">
        <v>920</v>
      </c>
      <c r="F25" s="160" t="s">
        <v>455</v>
      </c>
      <c r="G25" s="102" t="s">
        <v>572</v>
      </c>
      <c r="H25" s="93" t="str">
        <f t="shared" si="0"/>
        <v>REUNIÃO COM O PROCURADOR-GERAL DA UNIÃO NA PGU</v>
      </c>
      <c r="I25" s="93" t="s">
        <v>72</v>
      </c>
      <c r="J25" s="103">
        <v>43647</v>
      </c>
      <c r="K25" s="95">
        <v>23</v>
      </c>
      <c r="L25" s="95">
        <v>23</v>
      </c>
      <c r="M25" s="279">
        <v>0</v>
      </c>
      <c r="N25" s="279">
        <v>93.5</v>
      </c>
      <c r="O25" s="279"/>
      <c r="P25" s="280">
        <f>24+47+35</f>
        <v>106</v>
      </c>
      <c r="Q25" s="281">
        <f>1530.98+978.39</f>
        <v>2509.37</v>
      </c>
      <c r="R25" s="282">
        <v>0</v>
      </c>
      <c r="S25" s="283">
        <f t="shared" si="1"/>
        <v>2708.87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ht="46.5" customHeight="1">
      <c r="A26" s="21"/>
      <c r="B26" s="86">
        <v>23</v>
      </c>
      <c r="C26" s="195" t="s">
        <v>573</v>
      </c>
      <c r="D26" s="95" t="s">
        <v>242</v>
      </c>
      <c r="E26" s="89" t="s">
        <v>919</v>
      </c>
      <c r="F26" s="151" t="s">
        <v>243</v>
      </c>
      <c r="G26" s="102" t="s">
        <v>574</v>
      </c>
      <c r="H26" s="93" t="str">
        <f t="shared" si="0"/>
        <v>REUNIÃO COM A COORDENAÇÃO DE POLÍTICA DE PESSOAL DE ESTATAIS DA SECRETARIA DE COORDENAÇÃO E GOVERNANÇA DAS EMPRESAS ESTATAIS (SEST), SOBRE O CUMPRIMENTO DE LEGISLAÇÃO DE GESTANTES E LACTANTES EM ATIVIDADES INSALUBRES.</v>
      </c>
      <c r="I26" s="93" t="s">
        <v>72</v>
      </c>
      <c r="J26" s="103">
        <v>43647</v>
      </c>
      <c r="K26" s="95">
        <v>24</v>
      </c>
      <c r="L26" s="95">
        <v>24</v>
      </c>
      <c r="M26" s="279">
        <v>159.22999999999999</v>
      </c>
      <c r="N26" s="279">
        <v>107.8</v>
      </c>
      <c r="O26" s="279"/>
      <c r="P26" s="280">
        <v>0</v>
      </c>
      <c r="Q26" s="281">
        <v>2360.4699999999998</v>
      </c>
      <c r="R26" s="282">
        <v>0</v>
      </c>
      <c r="S26" s="283">
        <f t="shared" si="1"/>
        <v>2627.5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ht="25.5" customHeight="1">
      <c r="A27" s="21"/>
      <c r="B27" s="106">
        <v>24</v>
      </c>
      <c r="C27" s="210" t="s">
        <v>575</v>
      </c>
      <c r="D27" s="115" t="s">
        <v>576</v>
      </c>
      <c r="E27" s="165" t="s">
        <v>901</v>
      </c>
      <c r="F27" s="211" t="s">
        <v>577</v>
      </c>
      <c r="G27" s="112" t="s">
        <v>578</v>
      </c>
      <c r="H27" s="113" t="str">
        <f t="shared" si="0"/>
        <v>JULGAMENTO NO TRIBUNAL SUPERIOR DO TRABALHO</v>
      </c>
      <c r="I27" s="113" t="s">
        <v>72</v>
      </c>
      <c r="J27" s="114" t="s">
        <v>579</v>
      </c>
      <c r="K27" s="115">
        <v>31</v>
      </c>
      <c r="L27" s="115">
        <v>1</v>
      </c>
      <c r="M27" s="284">
        <v>0</v>
      </c>
      <c r="N27" s="284">
        <v>0</v>
      </c>
      <c r="O27" s="284"/>
      <c r="P27" s="285">
        <f>30+58+21+21+25+46+45</f>
        <v>246</v>
      </c>
      <c r="Q27" s="286">
        <f>1818.98+1817.39</f>
        <v>3636.37</v>
      </c>
      <c r="R27" s="287">
        <f>370.3+118.8</f>
        <v>489.1</v>
      </c>
      <c r="S27" s="288">
        <f t="shared" si="1"/>
        <v>4371.47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7" ht="24.75" customHeight="1">
      <c r="A28" s="21"/>
      <c r="B28" s="34"/>
      <c r="C28" s="35"/>
      <c r="D28" s="36"/>
      <c r="E28" s="36"/>
      <c r="F28" s="36"/>
      <c r="G28" s="36"/>
      <c r="H28" s="36"/>
      <c r="I28" s="36"/>
      <c r="J28" s="120"/>
      <c r="K28" s="121"/>
      <c r="L28" s="121"/>
      <c r="M28" s="37"/>
      <c r="N28" s="37"/>
      <c r="O28" s="37"/>
      <c r="P28" s="22"/>
      <c r="Q28" s="38"/>
      <c r="R28" s="39"/>
      <c r="S28" s="40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ht="15.75" customHeight="1">
      <c r="A29" s="41"/>
      <c r="B29" s="122" t="s">
        <v>94</v>
      </c>
      <c r="C29" s="41"/>
      <c r="D29" s="123" t="s">
        <v>95</v>
      </c>
      <c r="E29" s="124"/>
      <c r="F29" s="41"/>
      <c r="G29" s="41"/>
      <c r="H29" s="41"/>
      <c r="I29" s="125"/>
      <c r="J29" s="41"/>
      <c r="K29" s="34"/>
      <c r="L29" s="41"/>
      <c r="M29" s="170">
        <f t="shared" ref="M29:R29" si="2">SUM(M4:M27)</f>
        <v>826.1</v>
      </c>
      <c r="N29" s="170">
        <f t="shared" si="2"/>
        <v>1034.3100000000002</v>
      </c>
      <c r="O29" s="170">
        <f t="shared" si="2"/>
        <v>0</v>
      </c>
      <c r="P29" s="186">
        <f t="shared" si="2"/>
        <v>718.8</v>
      </c>
      <c r="Q29" s="128">
        <f t="shared" si="2"/>
        <v>42697.520000000004</v>
      </c>
      <c r="R29" s="129">
        <f t="shared" si="2"/>
        <v>5471.35</v>
      </c>
      <c r="S29" s="46">
        <f>SUM(S4:S27)+P30</f>
        <v>50755.268000000004</v>
      </c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</row>
    <row r="30" spans="1:37" ht="24.75" customHeight="1">
      <c r="A30" s="47"/>
      <c r="B30" s="47"/>
      <c r="C30" s="47"/>
      <c r="D30" s="310"/>
      <c r="E30" s="306"/>
      <c r="F30" s="306"/>
      <c r="G30" s="306"/>
      <c r="H30" s="306"/>
      <c r="I30" s="306"/>
      <c r="J30" s="306"/>
      <c r="K30" s="306"/>
      <c r="L30" s="47"/>
      <c r="M30" s="48"/>
      <c r="N30" s="48"/>
      <c r="O30" s="130" t="s">
        <v>94</v>
      </c>
      <c r="P30" s="22">
        <f>P29*1%</f>
        <v>7.1879999999999997</v>
      </c>
      <c r="Q30" s="47"/>
      <c r="R30" s="47"/>
      <c r="S30" s="52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</row>
    <row r="31" spans="1:37" ht="24.75" customHeight="1">
      <c r="A31" s="47"/>
      <c r="B31" s="47"/>
      <c r="C31" s="47"/>
      <c r="D31" s="47"/>
      <c r="E31" s="47"/>
      <c r="F31" s="47"/>
      <c r="G31" s="47"/>
      <c r="H31" s="47"/>
      <c r="I31" s="50"/>
      <c r="J31" s="47"/>
      <c r="K31" s="47"/>
      <c r="L31" s="47"/>
      <c r="M31" s="48"/>
      <c r="N31" s="48"/>
      <c r="O31" s="48"/>
      <c r="P31" s="131">
        <f>P29+P30</f>
        <v>725.98799999999994</v>
      </c>
      <c r="Q31" s="51"/>
      <c r="R31" s="52"/>
      <c r="S31" s="132" t="s">
        <v>96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37" ht="24.75" customHeight="1">
      <c r="A32" s="47"/>
      <c r="B32" s="47"/>
      <c r="C32" s="47"/>
      <c r="D32" s="311"/>
      <c r="E32" s="306"/>
      <c r="F32" s="306"/>
      <c r="G32" s="306"/>
      <c r="H32" s="306"/>
      <c r="I32" s="306"/>
      <c r="J32" s="306"/>
      <c r="K32" s="306"/>
      <c r="L32" s="47"/>
      <c r="M32" s="48"/>
      <c r="N32" s="48"/>
      <c r="O32" s="48"/>
      <c r="P32" s="22"/>
      <c r="Q32" s="4" t="s">
        <v>26</v>
      </c>
      <c r="R32" s="133">
        <f>M29+N29+O29+P31+Q29+R29</f>
        <v>50755.268000000004</v>
      </c>
      <c r="S32" s="56">
        <f>S29-R32</f>
        <v>0</v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3:19" ht="24.75" customHeight="1">
      <c r="C33" s="1"/>
      <c r="D33" s="1"/>
      <c r="E33" s="1"/>
      <c r="F33" s="1"/>
      <c r="G33" s="1"/>
      <c r="H33" s="1"/>
      <c r="I33" s="2"/>
      <c r="J33" s="63"/>
      <c r="K33" s="63"/>
      <c r="L33" s="63"/>
      <c r="M33" s="3"/>
      <c r="N33" s="3"/>
      <c r="O33" s="130" t="s">
        <v>94</v>
      </c>
      <c r="P33" s="22" t="s">
        <v>97</v>
      </c>
      <c r="Q33" s="4"/>
      <c r="R33" s="5"/>
      <c r="S33" s="5"/>
    </row>
    <row r="34" spans="3:19" ht="24.75" customHeight="1">
      <c r="C34" s="1"/>
      <c r="D34" s="1"/>
      <c r="E34" s="1"/>
      <c r="F34" s="1"/>
      <c r="G34" s="1"/>
      <c r="H34" s="1"/>
      <c r="I34" s="2"/>
      <c r="J34" s="63"/>
      <c r="K34" s="63"/>
      <c r="L34" s="63"/>
      <c r="M34" s="3"/>
      <c r="N34" s="3"/>
      <c r="O34" s="3"/>
      <c r="P34" s="22"/>
      <c r="Q34" s="4"/>
      <c r="R34" s="5"/>
      <c r="S34" s="5"/>
    </row>
    <row r="35" spans="3:19" ht="24.75" customHeight="1">
      <c r="C35" s="1"/>
      <c r="D35" s="1"/>
      <c r="E35" s="1"/>
      <c r="F35" s="1"/>
      <c r="G35" s="1"/>
      <c r="H35" s="1"/>
      <c r="I35" s="2"/>
      <c r="J35" s="63"/>
      <c r="K35" s="63"/>
      <c r="L35" s="63"/>
      <c r="M35" s="3"/>
      <c r="N35" s="3"/>
      <c r="O35" s="3"/>
      <c r="P35" s="22"/>
      <c r="Q35" s="4"/>
      <c r="R35" s="5"/>
      <c r="S35" s="5"/>
    </row>
    <row r="36" spans="3:19" ht="24.75" customHeight="1">
      <c r="C36" s="1"/>
      <c r="D36" s="1"/>
      <c r="E36" s="1"/>
      <c r="F36" s="1"/>
      <c r="G36" s="1"/>
      <c r="H36" s="1"/>
      <c r="I36" s="2"/>
      <c r="J36" s="63"/>
      <c r="K36" s="63"/>
      <c r="L36" s="63"/>
      <c r="M36" s="3"/>
      <c r="N36" s="3"/>
      <c r="O36" s="3"/>
      <c r="P36" s="22"/>
      <c r="Q36" s="4"/>
      <c r="R36" s="5"/>
      <c r="S36" s="5"/>
    </row>
    <row r="37" spans="3:19" ht="24.75" customHeight="1">
      <c r="C37" s="1"/>
      <c r="D37" s="1"/>
      <c r="E37" s="1"/>
      <c r="F37" s="1"/>
      <c r="G37" s="1"/>
      <c r="H37" s="1"/>
      <c r="I37" s="2"/>
      <c r="J37" s="63"/>
      <c r="K37" s="63"/>
      <c r="L37" s="63"/>
      <c r="M37" s="3"/>
      <c r="N37" s="3"/>
      <c r="O37" s="3"/>
      <c r="P37" s="22"/>
      <c r="Q37" s="4"/>
      <c r="R37" s="5"/>
      <c r="S37" s="5"/>
    </row>
    <row r="38" spans="3:19" ht="24.75" customHeight="1">
      <c r="C38" s="1"/>
      <c r="D38" s="1"/>
      <c r="E38" s="1"/>
      <c r="F38" s="1"/>
      <c r="G38" s="1"/>
      <c r="H38" s="1"/>
      <c r="I38" s="2"/>
      <c r="J38" s="63"/>
      <c r="K38" s="63"/>
      <c r="L38" s="63"/>
      <c r="M38" s="3"/>
      <c r="N38" s="3"/>
      <c r="O38" s="3"/>
      <c r="P38" s="22"/>
      <c r="Q38" s="4"/>
      <c r="R38" s="5"/>
      <c r="S38" s="5"/>
    </row>
    <row r="39" spans="3:19" ht="24.75" customHeight="1">
      <c r="C39" s="1"/>
      <c r="D39" s="1"/>
      <c r="E39" s="1"/>
      <c r="F39" s="1"/>
      <c r="G39" s="1"/>
      <c r="H39" s="1"/>
      <c r="I39" s="2"/>
      <c r="J39" s="63"/>
      <c r="K39" s="63"/>
      <c r="L39" s="63"/>
      <c r="M39" s="3"/>
      <c r="N39" s="3"/>
      <c r="O39" s="3"/>
      <c r="P39" s="22"/>
      <c r="Q39" s="4"/>
      <c r="R39" s="5"/>
      <c r="S39" s="5"/>
    </row>
    <row r="40" spans="3:19" ht="24.75" customHeight="1">
      <c r="C40" s="1"/>
      <c r="D40" s="1"/>
      <c r="E40" s="1"/>
      <c r="F40" s="1"/>
      <c r="G40" s="1"/>
      <c r="H40" s="1"/>
      <c r="I40" s="2"/>
      <c r="J40" s="63"/>
      <c r="K40" s="63"/>
      <c r="L40" s="63"/>
      <c r="M40" s="3"/>
      <c r="N40" s="3"/>
      <c r="O40" s="3"/>
      <c r="P40" s="22"/>
      <c r="Q40" s="4"/>
      <c r="R40" s="5"/>
      <c r="S40" s="5"/>
    </row>
    <row r="41" spans="3:19" ht="24.75" customHeight="1">
      <c r="C41" s="1"/>
      <c r="I41" s="2"/>
      <c r="J41" s="63"/>
      <c r="K41" s="63"/>
      <c r="L41" s="63"/>
      <c r="M41" s="3"/>
      <c r="N41" s="3"/>
      <c r="O41" s="3"/>
      <c r="P41" s="22"/>
      <c r="Q41" s="4"/>
      <c r="R41" s="5"/>
      <c r="S41" s="5"/>
    </row>
    <row r="42" spans="3:19" ht="24.75" customHeight="1">
      <c r="C42" s="1"/>
      <c r="D42" s="1"/>
      <c r="E42" s="1"/>
      <c r="F42" s="1"/>
      <c r="G42" s="1"/>
      <c r="H42" s="1"/>
      <c r="I42" s="2"/>
      <c r="J42" s="63"/>
      <c r="K42" s="63"/>
      <c r="L42" s="63"/>
      <c r="M42" s="3"/>
      <c r="N42" s="3"/>
      <c r="O42" s="3"/>
      <c r="P42" s="22"/>
      <c r="Q42" s="4"/>
      <c r="R42" s="5"/>
      <c r="S42" s="5"/>
    </row>
    <row r="43" spans="3:19" ht="24.75" customHeight="1">
      <c r="C43" s="1"/>
      <c r="D43" s="1"/>
      <c r="E43" s="1"/>
      <c r="F43" s="1"/>
      <c r="G43" s="1"/>
      <c r="H43" s="1"/>
      <c r="I43" s="2"/>
      <c r="J43" s="63"/>
      <c r="K43" s="63"/>
      <c r="L43" s="63"/>
      <c r="M43" s="3"/>
      <c r="N43" s="3"/>
      <c r="O43" s="3"/>
      <c r="P43" s="134"/>
      <c r="Q43" s="4"/>
      <c r="R43" s="5"/>
      <c r="S43" s="5"/>
    </row>
    <row r="44" spans="3:19" ht="24.75" customHeight="1">
      <c r="C44" s="1"/>
      <c r="D44" s="1"/>
      <c r="E44" s="1"/>
      <c r="F44" s="1"/>
      <c r="G44" s="1"/>
      <c r="H44" s="1"/>
      <c r="I44" s="2"/>
      <c r="J44" s="63"/>
      <c r="K44" s="63"/>
      <c r="L44" s="63"/>
      <c r="M44" s="3"/>
      <c r="N44" s="3"/>
      <c r="O44" s="3"/>
      <c r="P44" s="47"/>
      <c r="Q44" s="4"/>
      <c r="R44" s="5"/>
      <c r="S44" s="5"/>
    </row>
    <row r="45" spans="3:19" ht="24.75" customHeight="1">
      <c r="C45" s="1"/>
      <c r="D45" s="1"/>
      <c r="E45" s="1"/>
      <c r="F45" s="1"/>
      <c r="G45" s="1"/>
      <c r="H45" s="1"/>
      <c r="I45" s="2"/>
      <c r="J45" s="63"/>
      <c r="K45" s="63"/>
      <c r="L45" s="63"/>
      <c r="M45" s="3"/>
      <c r="N45" s="3"/>
      <c r="O45" s="3"/>
      <c r="P45" s="47"/>
      <c r="Q45" s="4"/>
      <c r="R45" s="5"/>
      <c r="S45" s="5"/>
    </row>
    <row r="46" spans="3:19" ht="24.75" customHeight="1">
      <c r="C46" s="1"/>
      <c r="D46" s="1"/>
      <c r="E46" s="1"/>
      <c r="F46" s="1"/>
      <c r="G46" s="1"/>
      <c r="H46" s="1"/>
      <c r="I46" s="2"/>
      <c r="J46" s="63"/>
      <c r="K46" s="63"/>
      <c r="L46" s="63"/>
      <c r="M46" s="3"/>
      <c r="N46" s="3"/>
      <c r="O46" s="3"/>
      <c r="P46" s="47"/>
      <c r="Q46" s="4"/>
      <c r="R46" s="5"/>
      <c r="S46" s="5"/>
    </row>
    <row r="47" spans="3:19" ht="24.75" customHeight="1">
      <c r="C47" s="1"/>
      <c r="D47" s="1"/>
      <c r="E47" s="1"/>
      <c r="F47" s="1"/>
      <c r="G47" s="1"/>
      <c r="H47" s="1"/>
      <c r="I47" s="2"/>
      <c r="J47" s="63"/>
      <c r="K47" s="63"/>
      <c r="L47" s="63"/>
      <c r="M47" s="3"/>
      <c r="N47" s="3"/>
      <c r="O47" s="3"/>
      <c r="Q47" s="4"/>
      <c r="R47" s="5"/>
      <c r="S47" s="5"/>
    </row>
    <row r="48" spans="3:19" ht="24.75" customHeight="1">
      <c r="C48" s="1"/>
      <c r="D48" s="1"/>
      <c r="E48" s="1"/>
      <c r="F48" s="1"/>
      <c r="G48" s="1"/>
      <c r="H48" s="1"/>
      <c r="I48" s="2"/>
      <c r="J48" s="63"/>
      <c r="K48" s="63"/>
      <c r="L48" s="63"/>
      <c r="M48" s="3"/>
      <c r="N48" s="3"/>
      <c r="O48" s="3"/>
      <c r="Q48" s="4"/>
      <c r="R48" s="5"/>
      <c r="S48" s="5"/>
    </row>
    <row r="49" spans="3:19" ht="24.75" customHeight="1">
      <c r="C49" s="1"/>
      <c r="D49" s="1"/>
      <c r="E49" s="1"/>
      <c r="F49" s="1"/>
      <c r="G49" s="1"/>
      <c r="H49" s="1"/>
      <c r="I49" s="2"/>
      <c r="J49" s="63"/>
      <c r="K49" s="63"/>
      <c r="L49" s="63"/>
      <c r="M49" s="3"/>
      <c r="N49" s="3"/>
      <c r="O49" s="3"/>
      <c r="Q49" s="4"/>
      <c r="R49" s="5"/>
      <c r="S49" s="5"/>
    </row>
    <row r="50" spans="3:19" ht="24.75" customHeight="1">
      <c r="C50" s="1"/>
      <c r="D50" s="1"/>
      <c r="E50" s="1"/>
      <c r="F50" s="1"/>
      <c r="G50" s="1"/>
      <c r="H50" s="1"/>
      <c r="I50" s="2"/>
      <c r="J50" s="63"/>
      <c r="K50" s="63"/>
      <c r="L50" s="63"/>
      <c r="M50" s="3"/>
      <c r="N50" s="3"/>
      <c r="O50" s="3"/>
      <c r="Q50" s="4"/>
      <c r="R50" s="5"/>
      <c r="S50" s="5"/>
    </row>
    <row r="51" spans="3:19" ht="24.75" customHeight="1">
      <c r="C51" s="1"/>
      <c r="D51" s="1"/>
      <c r="E51" s="1"/>
      <c r="F51" s="1"/>
      <c r="G51" s="1"/>
      <c r="H51" s="1"/>
      <c r="I51" s="2"/>
      <c r="J51" s="63"/>
      <c r="K51" s="63"/>
      <c r="L51" s="63"/>
      <c r="M51" s="3"/>
      <c r="N51" s="3"/>
      <c r="O51" s="3"/>
      <c r="Q51" s="4"/>
      <c r="R51" s="5"/>
      <c r="S51" s="5"/>
    </row>
    <row r="52" spans="3:19" ht="24.75" customHeight="1">
      <c r="C52" s="1"/>
      <c r="D52" s="1"/>
      <c r="E52" s="1"/>
      <c r="F52" s="1"/>
      <c r="G52" s="1"/>
      <c r="H52" s="1"/>
      <c r="I52" s="2"/>
      <c r="J52" s="63"/>
      <c r="K52" s="63"/>
      <c r="L52" s="63"/>
      <c r="M52" s="3"/>
      <c r="N52" s="3"/>
      <c r="O52" s="3"/>
      <c r="Q52" s="4"/>
      <c r="R52" s="5"/>
      <c r="S52" s="5"/>
    </row>
    <row r="53" spans="3:19" ht="24.75" customHeight="1">
      <c r="C53" s="1"/>
      <c r="D53" s="1"/>
      <c r="E53" s="1"/>
      <c r="F53" s="1"/>
      <c r="G53" s="1"/>
      <c r="H53" s="1"/>
      <c r="I53" s="2"/>
      <c r="J53" s="63"/>
      <c r="K53" s="63"/>
      <c r="L53" s="63"/>
      <c r="M53" s="3"/>
      <c r="N53" s="3"/>
      <c r="O53" s="3"/>
      <c r="Q53" s="4"/>
      <c r="R53" s="5"/>
      <c r="S53" s="5"/>
    </row>
    <row r="54" spans="3:19" ht="24.75" customHeight="1">
      <c r="C54" s="1"/>
      <c r="D54" s="1"/>
      <c r="E54" s="1"/>
      <c r="F54" s="1"/>
      <c r="G54" s="1"/>
      <c r="H54" s="1"/>
      <c r="I54" s="2"/>
      <c r="J54" s="63"/>
      <c r="K54" s="63"/>
      <c r="L54" s="63"/>
      <c r="M54" s="3"/>
      <c r="N54" s="3"/>
      <c r="O54" s="3"/>
      <c r="Q54" s="4"/>
      <c r="R54" s="5"/>
      <c r="S54" s="5"/>
    </row>
    <row r="55" spans="3:19" ht="24.75" customHeight="1">
      <c r="C55" s="1"/>
      <c r="D55" s="1"/>
      <c r="E55" s="1"/>
      <c r="F55" s="1"/>
      <c r="G55" s="1"/>
      <c r="H55" s="1"/>
      <c r="I55" s="2"/>
      <c r="J55" s="63"/>
      <c r="K55" s="63"/>
      <c r="L55" s="63"/>
      <c r="M55" s="3"/>
      <c r="N55" s="3"/>
      <c r="O55" s="3"/>
      <c r="Q55" s="4"/>
      <c r="R55" s="5"/>
      <c r="S55" s="5"/>
    </row>
    <row r="56" spans="3:19" ht="24.75" customHeight="1">
      <c r="C56" s="1"/>
      <c r="D56" s="1"/>
      <c r="E56" s="1"/>
      <c r="F56" s="1"/>
      <c r="G56" s="1"/>
      <c r="H56" s="1"/>
      <c r="I56" s="2"/>
      <c r="J56" s="63"/>
      <c r="K56" s="63"/>
      <c r="L56" s="63"/>
      <c r="M56" s="3"/>
      <c r="N56" s="3"/>
      <c r="O56" s="3"/>
      <c r="Q56" s="4"/>
      <c r="R56" s="5"/>
      <c r="S56" s="5"/>
    </row>
    <row r="57" spans="3:19" ht="24.75" customHeight="1">
      <c r="C57" s="1"/>
      <c r="D57" s="1"/>
      <c r="E57" s="1"/>
      <c r="F57" s="1"/>
      <c r="G57" s="1"/>
      <c r="H57" s="1"/>
      <c r="I57" s="2"/>
      <c r="J57" s="63"/>
      <c r="K57" s="63"/>
      <c r="L57" s="63"/>
      <c r="M57" s="3"/>
      <c r="N57" s="3"/>
      <c r="O57" s="3"/>
      <c r="Q57" s="4"/>
      <c r="R57" s="5"/>
      <c r="S57" s="5"/>
    </row>
    <row r="58" spans="3:19" ht="24.75" customHeight="1">
      <c r="C58" s="1"/>
      <c r="D58" s="1"/>
      <c r="E58" s="1"/>
      <c r="F58" s="1"/>
      <c r="G58" s="1"/>
      <c r="H58" s="1"/>
      <c r="I58" s="2"/>
      <c r="J58" s="63"/>
      <c r="K58" s="63"/>
      <c r="L58" s="63"/>
      <c r="M58" s="3"/>
      <c r="N58" s="3"/>
      <c r="O58" s="3"/>
      <c r="Q58" s="4"/>
      <c r="R58" s="5"/>
      <c r="S58" s="5"/>
    </row>
    <row r="59" spans="3:19" ht="24.75" customHeight="1">
      <c r="C59" s="1"/>
      <c r="D59" s="1"/>
      <c r="E59" s="1"/>
      <c r="F59" s="1"/>
      <c r="G59" s="1"/>
      <c r="H59" s="1"/>
      <c r="I59" s="2"/>
      <c r="J59" s="63"/>
      <c r="K59" s="63"/>
      <c r="L59" s="63"/>
      <c r="M59" s="3"/>
      <c r="N59" s="3"/>
      <c r="O59" s="3"/>
      <c r="Q59" s="4"/>
      <c r="R59" s="5"/>
      <c r="S59" s="5"/>
    </row>
    <row r="60" spans="3:19" ht="24.75" customHeight="1">
      <c r="C60" s="1"/>
      <c r="D60" s="1"/>
      <c r="E60" s="1"/>
      <c r="F60" s="1"/>
      <c r="G60" s="1"/>
      <c r="H60" s="1"/>
      <c r="I60" s="2"/>
      <c r="J60" s="63"/>
      <c r="K60" s="63"/>
      <c r="L60" s="63"/>
      <c r="M60" s="3"/>
      <c r="N60" s="3"/>
      <c r="O60" s="3"/>
      <c r="Q60" s="4"/>
      <c r="R60" s="5"/>
      <c r="S60" s="5"/>
    </row>
    <row r="61" spans="3:19" ht="24.75" customHeight="1">
      <c r="C61" s="1"/>
      <c r="D61" s="1"/>
      <c r="E61" s="1"/>
      <c r="F61" s="1"/>
      <c r="G61" s="1"/>
      <c r="H61" s="1"/>
      <c r="I61" s="2"/>
      <c r="J61" s="63"/>
      <c r="K61" s="63"/>
      <c r="L61" s="63"/>
      <c r="M61" s="3"/>
      <c r="N61" s="3"/>
      <c r="O61" s="3"/>
      <c r="Q61" s="4"/>
      <c r="R61" s="5"/>
      <c r="S61" s="5"/>
    </row>
    <row r="62" spans="3:19" ht="24.75" customHeight="1">
      <c r="C62" s="1"/>
      <c r="D62" s="1"/>
      <c r="E62" s="1"/>
      <c r="F62" s="1"/>
      <c r="G62" s="1"/>
      <c r="H62" s="1"/>
      <c r="I62" s="2"/>
      <c r="J62" s="63"/>
      <c r="K62" s="63"/>
      <c r="L62" s="63"/>
      <c r="M62" s="3"/>
      <c r="N62" s="3"/>
      <c r="O62" s="3"/>
      <c r="Q62" s="4"/>
      <c r="R62" s="5"/>
      <c r="S62" s="5"/>
    </row>
    <row r="63" spans="3:19" ht="24.75" customHeight="1">
      <c r="C63" s="1"/>
      <c r="D63" s="1"/>
      <c r="E63" s="1"/>
      <c r="F63" s="1"/>
      <c r="G63" s="1"/>
      <c r="H63" s="1"/>
      <c r="I63" s="2"/>
      <c r="J63" s="63"/>
      <c r="K63" s="63"/>
      <c r="L63" s="63"/>
      <c r="M63" s="3"/>
      <c r="N63" s="3"/>
      <c r="O63" s="3"/>
      <c r="Q63" s="4"/>
      <c r="R63" s="5"/>
      <c r="S63" s="5"/>
    </row>
    <row r="64" spans="3:19" ht="24.75" customHeight="1">
      <c r="C64" s="1"/>
      <c r="D64" s="1"/>
      <c r="E64" s="1"/>
      <c r="F64" s="1"/>
      <c r="G64" s="1"/>
      <c r="H64" s="1"/>
      <c r="I64" s="2"/>
      <c r="J64" s="63"/>
      <c r="K64" s="63"/>
      <c r="L64" s="63"/>
      <c r="M64" s="3"/>
      <c r="N64" s="3"/>
      <c r="O64" s="3"/>
      <c r="Q64" s="4"/>
      <c r="R64" s="5"/>
      <c r="S64" s="5"/>
    </row>
    <row r="65" spans="3:19" ht="24.75" customHeight="1">
      <c r="C65" s="1"/>
      <c r="D65" s="1"/>
      <c r="E65" s="1"/>
      <c r="F65" s="1"/>
      <c r="G65" s="1"/>
      <c r="H65" s="1"/>
      <c r="I65" s="2"/>
      <c r="J65" s="63"/>
      <c r="K65" s="63"/>
      <c r="L65" s="63"/>
      <c r="M65" s="3"/>
      <c r="N65" s="3"/>
      <c r="O65" s="3"/>
      <c r="Q65" s="4"/>
      <c r="R65" s="5"/>
      <c r="S65" s="5"/>
    </row>
    <row r="66" spans="3:19" ht="24.75" customHeight="1">
      <c r="C66" s="1"/>
      <c r="D66" s="1"/>
      <c r="E66" s="1"/>
      <c r="F66" s="1"/>
      <c r="G66" s="1"/>
      <c r="H66" s="1"/>
      <c r="I66" s="2"/>
      <c r="J66" s="63"/>
      <c r="K66" s="63"/>
      <c r="L66" s="63"/>
      <c r="M66" s="3"/>
      <c r="N66" s="3"/>
      <c r="O66" s="3"/>
      <c r="Q66" s="4"/>
      <c r="R66" s="5"/>
      <c r="S66" s="5"/>
    </row>
    <row r="67" spans="3:19" ht="24.75" customHeight="1">
      <c r="C67" s="1"/>
      <c r="D67" s="1"/>
      <c r="E67" s="1"/>
      <c r="F67" s="1"/>
      <c r="G67" s="1"/>
      <c r="H67" s="1"/>
      <c r="I67" s="2"/>
      <c r="J67" s="63"/>
      <c r="K67" s="63"/>
      <c r="L67" s="63"/>
      <c r="M67" s="3"/>
      <c r="N67" s="3"/>
      <c r="O67" s="3"/>
      <c r="Q67" s="4"/>
      <c r="R67" s="5"/>
      <c r="S67" s="5"/>
    </row>
    <row r="68" spans="3:19" ht="24.75" customHeight="1">
      <c r="C68" s="1"/>
      <c r="D68" s="1"/>
      <c r="E68" s="1"/>
      <c r="F68" s="1"/>
      <c r="G68" s="1"/>
      <c r="H68" s="1"/>
      <c r="I68" s="2"/>
      <c r="J68" s="63"/>
      <c r="K68" s="63"/>
      <c r="L68" s="63"/>
      <c r="M68" s="3"/>
      <c r="N68" s="3"/>
      <c r="O68" s="3"/>
      <c r="Q68" s="4"/>
      <c r="R68" s="5"/>
      <c r="S68" s="5"/>
    </row>
    <row r="69" spans="3:19" ht="24.75" customHeight="1">
      <c r="C69" s="1"/>
      <c r="D69" s="1"/>
      <c r="E69" s="1"/>
      <c r="F69" s="1"/>
      <c r="G69" s="1"/>
      <c r="H69" s="1"/>
      <c r="I69" s="2"/>
      <c r="J69" s="63"/>
      <c r="K69" s="63"/>
      <c r="L69" s="63"/>
      <c r="M69" s="3"/>
      <c r="N69" s="3"/>
      <c r="O69" s="3"/>
      <c r="Q69" s="4"/>
      <c r="R69" s="5"/>
      <c r="S69" s="5"/>
    </row>
    <row r="70" spans="3:19" ht="24.75" customHeight="1">
      <c r="C70" s="1"/>
      <c r="D70" s="1"/>
      <c r="E70" s="1"/>
      <c r="F70" s="1"/>
      <c r="G70" s="1"/>
      <c r="H70" s="1"/>
      <c r="I70" s="2"/>
      <c r="J70" s="63"/>
      <c r="K70" s="63"/>
      <c r="L70" s="63"/>
      <c r="M70" s="3"/>
      <c r="N70" s="3"/>
      <c r="O70" s="3"/>
      <c r="Q70" s="4"/>
      <c r="R70" s="5"/>
      <c r="S70" s="5"/>
    </row>
    <row r="71" spans="3:19" ht="24.75" customHeight="1">
      <c r="C71" s="1"/>
      <c r="D71" s="1"/>
      <c r="E71" s="1"/>
      <c r="F71" s="1"/>
      <c r="G71" s="1"/>
      <c r="H71" s="1"/>
      <c r="I71" s="2"/>
      <c r="J71" s="63"/>
      <c r="K71" s="63"/>
      <c r="L71" s="63"/>
      <c r="M71" s="3"/>
      <c r="N71" s="3"/>
      <c r="O71" s="3"/>
      <c r="Q71" s="4"/>
      <c r="R71" s="5"/>
      <c r="S71" s="5"/>
    </row>
    <row r="72" spans="3:19" ht="24.75" customHeight="1">
      <c r="C72" s="1"/>
      <c r="D72" s="1"/>
      <c r="E72" s="1"/>
      <c r="F72" s="1"/>
      <c r="G72" s="1"/>
      <c r="H72" s="1"/>
      <c r="I72" s="2"/>
      <c r="J72" s="63"/>
      <c r="K72" s="63"/>
      <c r="L72" s="63"/>
      <c r="M72" s="3"/>
      <c r="N72" s="3"/>
      <c r="O72" s="3"/>
      <c r="Q72" s="4"/>
      <c r="R72" s="5"/>
      <c r="S72" s="5"/>
    </row>
    <row r="73" spans="3:19" ht="24.75" customHeight="1">
      <c r="C73" s="1"/>
      <c r="D73" s="1"/>
      <c r="E73" s="1"/>
      <c r="F73" s="1"/>
      <c r="G73" s="1"/>
      <c r="H73" s="1"/>
      <c r="I73" s="2"/>
      <c r="J73" s="63"/>
      <c r="K73" s="63"/>
      <c r="L73" s="63"/>
      <c r="M73" s="3"/>
      <c r="N73" s="3"/>
      <c r="O73" s="3"/>
      <c r="Q73" s="4"/>
      <c r="R73" s="5"/>
      <c r="S73" s="5"/>
    </row>
    <row r="74" spans="3:19" ht="24.75" customHeight="1">
      <c r="C74" s="1"/>
      <c r="D74" s="1"/>
      <c r="E74" s="1"/>
      <c r="F74" s="1"/>
      <c r="G74" s="1"/>
      <c r="H74" s="1"/>
      <c r="I74" s="2"/>
      <c r="J74" s="63"/>
      <c r="K74" s="63"/>
      <c r="L74" s="63"/>
      <c r="M74" s="3"/>
      <c r="N74" s="3"/>
      <c r="O74" s="3"/>
      <c r="Q74" s="4"/>
      <c r="R74" s="5"/>
      <c r="S74" s="5"/>
    </row>
    <row r="75" spans="3:19" ht="24.75" customHeight="1">
      <c r="C75" s="1"/>
      <c r="D75" s="1"/>
      <c r="E75" s="1"/>
      <c r="F75" s="1"/>
      <c r="G75" s="1"/>
      <c r="H75" s="1"/>
      <c r="I75" s="2"/>
      <c r="J75" s="63"/>
      <c r="K75" s="63"/>
      <c r="L75" s="63"/>
      <c r="M75" s="3"/>
      <c r="N75" s="3"/>
      <c r="O75" s="3"/>
      <c r="Q75" s="4"/>
      <c r="R75" s="5"/>
      <c r="S75" s="5"/>
    </row>
    <row r="76" spans="3:19" ht="24.75" customHeight="1">
      <c r="C76" s="1"/>
      <c r="D76" s="1"/>
      <c r="E76" s="1"/>
      <c r="F76" s="1"/>
      <c r="G76" s="1"/>
      <c r="H76" s="1"/>
      <c r="I76" s="2"/>
      <c r="J76" s="63"/>
      <c r="K76" s="63"/>
      <c r="L76" s="63"/>
      <c r="M76" s="3"/>
      <c r="N76" s="3"/>
      <c r="O76" s="3"/>
      <c r="Q76" s="4"/>
      <c r="R76" s="5"/>
      <c r="S76" s="5"/>
    </row>
    <row r="77" spans="3:19" ht="24.75" customHeight="1">
      <c r="C77" s="1"/>
      <c r="D77" s="1"/>
      <c r="E77" s="1"/>
      <c r="F77" s="1"/>
      <c r="G77" s="1"/>
      <c r="H77" s="1"/>
      <c r="I77" s="2"/>
      <c r="J77" s="63"/>
      <c r="K77" s="63"/>
      <c r="L77" s="63"/>
      <c r="M77" s="3"/>
      <c r="N77" s="3"/>
      <c r="O77" s="3"/>
      <c r="Q77" s="4"/>
      <c r="R77" s="5"/>
      <c r="S77" s="5"/>
    </row>
    <row r="78" spans="3:19" ht="24.75" customHeight="1">
      <c r="C78" s="1"/>
      <c r="D78" s="1"/>
      <c r="E78" s="1"/>
      <c r="F78" s="1"/>
      <c r="G78" s="1"/>
      <c r="H78" s="1"/>
      <c r="I78" s="2"/>
      <c r="J78" s="63"/>
      <c r="K78" s="63"/>
      <c r="L78" s="63"/>
      <c r="M78" s="3"/>
      <c r="N78" s="3"/>
      <c r="O78" s="3"/>
      <c r="Q78" s="4"/>
      <c r="R78" s="5"/>
      <c r="S78" s="5"/>
    </row>
    <row r="79" spans="3:19" ht="24.75" customHeight="1">
      <c r="C79" s="1"/>
      <c r="D79" s="1"/>
      <c r="E79" s="1"/>
      <c r="F79" s="1"/>
      <c r="G79" s="1"/>
      <c r="H79" s="1"/>
      <c r="I79" s="2"/>
      <c r="J79" s="63"/>
      <c r="K79" s="63"/>
      <c r="L79" s="63"/>
      <c r="M79" s="3"/>
      <c r="N79" s="3"/>
      <c r="O79" s="3"/>
      <c r="Q79" s="4"/>
      <c r="R79" s="5"/>
      <c r="S79" s="5"/>
    </row>
    <row r="80" spans="3:19" ht="24.75" customHeight="1">
      <c r="C80" s="1"/>
      <c r="D80" s="1"/>
      <c r="E80" s="1"/>
      <c r="F80" s="1"/>
      <c r="G80" s="1"/>
      <c r="H80" s="1"/>
      <c r="I80" s="2"/>
      <c r="J80" s="63"/>
      <c r="K80" s="63"/>
      <c r="L80" s="63"/>
      <c r="M80" s="3"/>
      <c r="N80" s="3"/>
      <c r="O80" s="3"/>
      <c r="Q80" s="4"/>
      <c r="R80" s="5"/>
      <c r="S80" s="5"/>
    </row>
    <row r="81" spans="3:19" ht="24.75" customHeight="1">
      <c r="C81" s="1"/>
      <c r="D81" s="1"/>
      <c r="E81" s="1"/>
      <c r="F81" s="1"/>
      <c r="G81" s="1"/>
      <c r="H81" s="1"/>
      <c r="I81" s="2"/>
      <c r="J81" s="63"/>
      <c r="K81" s="63"/>
      <c r="L81" s="63"/>
      <c r="M81" s="3"/>
      <c r="N81" s="3"/>
      <c r="O81" s="3"/>
      <c r="Q81" s="4"/>
      <c r="R81" s="5"/>
      <c r="S81" s="5"/>
    </row>
    <row r="82" spans="3:19" ht="24.75" customHeight="1">
      <c r="C82" s="1"/>
      <c r="D82" s="1"/>
      <c r="E82" s="1"/>
      <c r="F82" s="1"/>
      <c r="G82" s="1"/>
      <c r="H82" s="1"/>
      <c r="I82" s="2"/>
      <c r="J82" s="63"/>
      <c r="K82" s="63"/>
      <c r="L82" s="63"/>
      <c r="M82" s="3"/>
      <c r="N82" s="3"/>
      <c r="O82" s="3"/>
      <c r="Q82" s="4"/>
      <c r="R82" s="5"/>
      <c r="S82" s="5"/>
    </row>
    <row r="83" spans="3:19" ht="24.75" customHeight="1">
      <c r="C83" s="1"/>
      <c r="D83" s="1"/>
      <c r="E83" s="1"/>
      <c r="F83" s="1"/>
      <c r="G83" s="1"/>
      <c r="H83" s="1"/>
      <c r="I83" s="2"/>
      <c r="J83" s="63"/>
      <c r="K83" s="63"/>
      <c r="L83" s="63"/>
      <c r="M83" s="3"/>
      <c r="N83" s="3"/>
      <c r="O83" s="3"/>
      <c r="Q83" s="4"/>
      <c r="R83" s="5"/>
      <c r="S83" s="5"/>
    </row>
    <row r="84" spans="3:19" ht="24.75" customHeight="1">
      <c r="C84" s="1"/>
      <c r="D84" s="1"/>
      <c r="E84" s="1"/>
      <c r="F84" s="1"/>
      <c r="G84" s="1"/>
      <c r="H84" s="1"/>
      <c r="I84" s="2"/>
      <c r="J84" s="63"/>
      <c r="K84" s="63"/>
      <c r="L84" s="63"/>
      <c r="M84" s="3"/>
      <c r="N84" s="3"/>
      <c r="O84" s="3"/>
      <c r="Q84" s="4"/>
      <c r="R84" s="5"/>
      <c r="S84" s="5"/>
    </row>
    <row r="85" spans="3:19" ht="24.75" customHeight="1">
      <c r="C85" s="1"/>
      <c r="D85" s="1"/>
      <c r="E85" s="1"/>
      <c r="F85" s="1"/>
      <c r="G85" s="1"/>
      <c r="H85" s="1"/>
      <c r="I85" s="2"/>
      <c r="J85" s="63"/>
      <c r="K85" s="63"/>
      <c r="L85" s="63"/>
      <c r="M85" s="3"/>
      <c r="N85" s="3"/>
      <c r="O85" s="3"/>
      <c r="Q85" s="4"/>
      <c r="R85" s="5"/>
      <c r="S85" s="5"/>
    </row>
    <row r="86" spans="3:19" ht="24.75" customHeight="1">
      <c r="C86" s="1"/>
      <c r="D86" s="1"/>
      <c r="E86" s="1"/>
      <c r="F86" s="1"/>
      <c r="G86" s="1"/>
      <c r="H86" s="1"/>
      <c r="I86" s="2"/>
      <c r="J86" s="63"/>
      <c r="K86" s="63"/>
      <c r="L86" s="63"/>
      <c r="M86" s="3"/>
      <c r="N86" s="3"/>
      <c r="O86" s="3"/>
      <c r="Q86" s="4"/>
      <c r="R86" s="5"/>
      <c r="S86" s="5"/>
    </row>
    <row r="87" spans="3:19" ht="24.75" customHeight="1">
      <c r="C87" s="1"/>
      <c r="D87" s="1"/>
      <c r="E87" s="1"/>
      <c r="F87" s="1"/>
      <c r="G87" s="1"/>
      <c r="H87" s="1"/>
      <c r="I87" s="2"/>
      <c r="J87" s="63"/>
      <c r="K87" s="63"/>
      <c r="L87" s="63"/>
      <c r="M87" s="3"/>
      <c r="N87" s="3"/>
      <c r="O87" s="3"/>
      <c r="Q87" s="4"/>
      <c r="R87" s="5"/>
      <c r="S87" s="5"/>
    </row>
    <row r="88" spans="3:19" ht="24.75" customHeight="1">
      <c r="C88" s="1"/>
      <c r="D88" s="1"/>
      <c r="E88" s="1"/>
      <c r="F88" s="1"/>
      <c r="G88" s="1"/>
      <c r="H88" s="1"/>
      <c r="I88" s="2"/>
      <c r="J88" s="63"/>
      <c r="K88" s="63"/>
      <c r="L88" s="63"/>
      <c r="M88" s="3"/>
      <c r="N88" s="3"/>
      <c r="O88" s="3"/>
      <c r="Q88" s="4"/>
      <c r="R88" s="5"/>
      <c r="S88" s="5"/>
    </row>
    <row r="89" spans="3:19" ht="24.75" customHeight="1">
      <c r="C89" s="1"/>
      <c r="D89" s="1"/>
      <c r="E89" s="1"/>
      <c r="F89" s="1"/>
      <c r="G89" s="1"/>
      <c r="H89" s="1"/>
      <c r="I89" s="2"/>
      <c r="J89" s="63"/>
      <c r="K89" s="63"/>
      <c r="L89" s="63"/>
      <c r="M89" s="3"/>
      <c r="N89" s="3"/>
      <c r="O89" s="3"/>
      <c r="Q89" s="4"/>
      <c r="R89" s="5"/>
      <c r="S89" s="5"/>
    </row>
    <row r="90" spans="3:19" ht="24.75" customHeight="1">
      <c r="C90" s="1"/>
      <c r="D90" s="1"/>
      <c r="E90" s="1"/>
      <c r="F90" s="1"/>
      <c r="G90" s="1"/>
      <c r="H90" s="1"/>
      <c r="I90" s="2"/>
      <c r="J90" s="63"/>
      <c r="K90" s="63"/>
      <c r="L90" s="63"/>
      <c r="M90" s="3"/>
      <c r="N90" s="3"/>
      <c r="O90" s="3"/>
      <c r="Q90" s="4"/>
      <c r="R90" s="5"/>
      <c r="S90" s="5"/>
    </row>
    <row r="91" spans="3:19" ht="24.75" customHeight="1">
      <c r="C91" s="1"/>
      <c r="D91" s="1"/>
      <c r="E91" s="1"/>
      <c r="F91" s="1"/>
      <c r="G91" s="1"/>
      <c r="H91" s="1"/>
      <c r="I91" s="2"/>
      <c r="J91" s="63"/>
      <c r="K91" s="63"/>
      <c r="L91" s="63"/>
      <c r="M91" s="3"/>
      <c r="N91" s="3"/>
      <c r="O91" s="3"/>
      <c r="Q91" s="4"/>
      <c r="R91" s="5"/>
      <c r="S91" s="5"/>
    </row>
    <row r="92" spans="3:19" ht="24.75" customHeight="1">
      <c r="C92" s="1"/>
      <c r="D92" s="1"/>
      <c r="E92" s="1"/>
      <c r="F92" s="1"/>
      <c r="G92" s="1"/>
      <c r="H92" s="1"/>
      <c r="I92" s="2"/>
      <c r="J92" s="63"/>
      <c r="K92" s="63"/>
      <c r="L92" s="63"/>
      <c r="M92" s="3"/>
      <c r="N92" s="3"/>
      <c r="O92" s="3"/>
      <c r="Q92" s="4"/>
      <c r="R92" s="5"/>
      <c r="S92" s="5"/>
    </row>
    <row r="93" spans="3:19" ht="24.75" customHeight="1">
      <c r="C93" s="1"/>
      <c r="D93" s="1"/>
      <c r="E93" s="1"/>
      <c r="F93" s="1"/>
      <c r="G93" s="1"/>
      <c r="H93" s="1"/>
      <c r="I93" s="2"/>
      <c r="J93" s="63"/>
      <c r="K93" s="63"/>
      <c r="L93" s="63"/>
      <c r="M93" s="3"/>
      <c r="N93" s="3"/>
      <c r="O93" s="3"/>
      <c r="Q93" s="4"/>
      <c r="R93" s="5"/>
      <c r="S93" s="5"/>
    </row>
    <row r="94" spans="3:19" ht="24.75" customHeight="1">
      <c r="C94" s="1"/>
      <c r="D94" s="1"/>
      <c r="E94" s="1"/>
      <c r="F94" s="1"/>
      <c r="G94" s="1"/>
      <c r="H94" s="1"/>
      <c r="I94" s="2"/>
      <c r="J94" s="63"/>
      <c r="K94" s="63"/>
      <c r="L94" s="63"/>
      <c r="M94" s="3"/>
      <c r="N94" s="3"/>
      <c r="O94" s="3"/>
      <c r="Q94" s="4"/>
      <c r="R94" s="5"/>
      <c r="S94" s="5"/>
    </row>
    <row r="95" spans="3:19" ht="24.75" customHeight="1">
      <c r="C95" s="1"/>
      <c r="D95" s="1"/>
      <c r="E95" s="1"/>
      <c r="F95" s="1"/>
      <c r="G95" s="1"/>
      <c r="H95" s="1"/>
      <c r="I95" s="2"/>
      <c r="J95" s="63"/>
      <c r="K95" s="63"/>
      <c r="L95" s="63"/>
      <c r="M95" s="3"/>
      <c r="N95" s="3"/>
      <c r="O95" s="3"/>
      <c r="Q95" s="4"/>
      <c r="R95" s="5"/>
      <c r="S95" s="5"/>
    </row>
    <row r="96" spans="3:19" ht="24.75" customHeight="1">
      <c r="C96" s="1"/>
      <c r="D96" s="1"/>
      <c r="E96" s="1"/>
      <c r="F96" s="1"/>
      <c r="G96" s="1"/>
      <c r="H96" s="1"/>
      <c r="I96" s="2"/>
      <c r="J96" s="63"/>
      <c r="K96" s="63"/>
      <c r="L96" s="63"/>
      <c r="M96" s="3"/>
      <c r="N96" s="3"/>
      <c r="O96" s="3"/>
      <c r="Q96" s="4"/>
      <c r="R96" s="5"/>
      <c r="S96" s="5"/>
    </row>
    <row r="97" spans="3:19" ht="24.75" customHeight="1">
      <c r="C97" s="1"/>
      <c r="D97" s="1"/>
      <c r="E97" s="1"/>
      <c r="F97" s="1"/>
      <c r="G97" s="1"/>
      <c r="H97" s="1"/>
      <c r="I97" s="2"/>
      <c r="J97" s="63"/>
      <c r="K97" s="63"/>
      <c r="L97" s="63"/>
      <c r="M97" s="3"/>
      <c r="N97" s="3"/>
      <c r="O97" s="3"/>
      <c r="Q97" s="4"/>
      <c r="R97" s="5"/>
      <c r="S97" s="5"/>
    </row>
    <row r="98" spans="3:19" ht="24.75" customHeight="1">
      <c r="C98" s="1"/>
      <c r="D98" s="1"/>
      <c r="E98" s="1"/>
      <c r="F98" s="1"/>
      <c r="G98" s="1"/>
      <c r="H98" s="1"/>
      <c r="I98" s="2"/>
      <c r="J98" s="63"/>
      <c r="K98" s="63"/>
      <c r="L98" s="63"/>
      <c r="M98" s="3"/>
      <c r="N98" s="3"/>
      <c r="O98" s="3"/>
      <c r="Q98" s="4"/>
      <c r="R98" s="5"/>
      <c r="S98" s="5"/>
    </row>
    <row r="99" spans="3:19" ht="24.75" customHeight="1">
      <c r="C99" s="1"/>
      <c r="D99" s="1"/>
      <c r="E99" s="1"/>
      <c r="F99" s="1"/>
      <c r="G99" s="1"/>
      <c r="H99" s="1"/>
      <c r="I99" s="2"/>
      <c r="J99" s="63"/>
      <c r="K99" s="63"/>
      <c r="L99" s="63"/>
      <c r="M99" s="3"/>
      <c r="N99" s="3"/>
      <c r="O99" s="3"/>
      <c r="Q99" s="4"/>
      <c r="R99" s="5"/>
      <c r="S99" s="5"/>
    </row>
    <row r="100" spans="3:19" ht="24.75" customHeight="1">
      <c r="C100" s="1"/>
      <c r="D100" s="1"/>
      <c r="E100" s="1"/>
      <c r="F100" s="1"/>
      <c r="G100" s="1"/>
      <c r="H100" s="1"/>
      <c r="I100" s="2"/>
      <c r="J100" s="63"/>
      <c r="K100" s="63"/>
      <c r="L100" s="63"/>
      <c r="M100" s="3"/>
      <c r="N100" s="3"/>
      <c r="O100" s="3"/>
      <c r="Q100" s="4"/>
      <c r="R100" s="5"/>
      <c r="S100" s="5"/>
    </row>
    <row r="101" spans="3:19" ht="24.75" customHeight="1">
      <c r="C101" s="1"/>
      <c r="D101" s="1"/>
      <c r="E101" s="1"/>
      <c r="F101" s="1"/>
      <c r="G101" s="1"/>
      <c r="H101" s="1"/>
      <c r="I101" s="2"/>
      <c r="J101" s="63"/>
      <c r="K101" s="63"/>
      <c r="L101" s="63"/>
      <c r="M101" s="3"/>
      <c r="N101" s="3"/>
      <c r="O101" s="3"/>
      <c r="Q101" s="4"/>
      <c r="R101" s="5"/>
      <c r="S101" s="5"/>
    </row>
    <row r="102" spans="3:19" ht="24.75" customHeight="1">
      <c r="C102" s="1"/>
      <c r="D102" s="1"/>
      <c r="E102" s="1"/>
      <c r="F102" s="1"/>
      <c r="G102" s="1"/>
      <c r="H102" s="1"/>
      <c r="I102" s="2"/>
      <c r="J102" s="63"/>
      <c r="K102" s="63"/>
      <c r="L102" s="63"/>
      <c r="M102" s="3"/>
      <c r="N102" s="3"/>
      <c r="O102" s="3"/>
      <c r="Q102" s="4"/>
      <c r="R102" s="5"/>
      <c r="S102" s="5"/>
    </row>
    <row r="103" spans="3:19" ht="24.75" customHeight="1">
      <c r="C103" s="1"/>
      <c r="D103" s="1"/>
      <c r="E103" s="1"/>
      <c r="F103" s="1"/>
      <c r="G103" s="1"/>
      <c r="H103" s="1"/>
      <c r="I103" s="2"/>
      <c r="J103" s="63"/>
      <c r="K103" s="63"/>
      <c r="L103" s="63"/>
      <c r="M103" s="3"/>
      <c r="N103" s="3"/>
      <c r="O103" s="3"/>
      <c r="Q103" s="4"/>
      <c r="R103" s="5"/>
      <c r="S103" s="5"/>
    </row>
    <row r="104" spans="3:19" ht="24.75" customHeight="1">
      <c r="C104" s="1"/>
      <c r="D104" s="1"/>
      <c r="E104" s="1"/>
      <c r="F104" s="1"/>
      <c r="G104" s="1"/>
      <c r="H104" s="1"/>
      <c r="I104" s="2"/>
      <c r="J104" s="63"/>
      <c r="K104" s="63"/>
      <c r="L104" s="63"/>
      <c r="M104" s="3"/>
      <c r="N104" s="3"/>
      <c r="O104" s="3"/>
      <c r="Q104" s="4"/>
      <c r="R104" s="5"/>
      <c r="S104" s="5"/>
    </row>
    <row r="105" spans="3:19" ht="24.75" customHeight="1">
      <c r="C105" s="1"/>
      <c r="D105" s="1"/>
      <c r="E105" s="1"/>
      <c r="F105" s="1"/>
      <c r="G105" s="1"/>
      <c r="H105" s="1"/>
      <c r="I105" s="2"/>
      <c r="J105" s="63"/>
      <c r="K105" s="63"/>
      <c r="L105" s="63"/>
      <c r="M105" s="3"/>
      <c r="N105" s="3"/>
      <c r="O105" s="3"/>
      <c r="Q105" s="4"/>
      <c r="R105" s="5"/>
      <c r="S105" s="5"/>
    </row>
    <row r="106" spans="3:19" ht="24.75" customHeight="1">
      <c r="C106" s="1"/>
      <c r="D106" s="1"/>
      <c r="E106" s="1"/>
      <c r="F106" s="1"/>
      <c r="G106" s="1"/>
      <c r="H106" s="1"/>
      <c r="I106" s="2"/>
      <c r="J106" s="63"/>
      <c r="K106" s="63"/>
      <c r="L106" s="63"/>
      <c r="M106" s="3"/>
      <c r="N106" s="3"/>
      <c r="O106" s="3"/>
      <c r="Q106" s="4"/>
      <c r="R106" s="5"/>
      <c r="S106" s="5"/>
    </row>
    <row r="107" spans="3:19" ht="24.75" customHeight="1">
      <c r="C107" s="1"/>
      <c r="D107" s="1"/>
      <c r="E107" s="1"/>
      <c r="F107" s="1"/>
      <c r="G107" s="1"/>
      <c r="H107" s="1"/>
      <c r="I107" s="2"/>
      <c r="J107" s="63"/>
      <c r="K107" s="63"/>
      <c r="L107" s="63"/>
      <c r="M107" s="3"/>
      <c r="N107" s="3"/>
      <c r="O107" s="3"/>
      <c r="Q107" s="4"/>
      <c r="R107" s="5"/>
      <c r="S107" s="5"/>
    </row>
    <row r="108" spans="3:19" ht="24.75" customHeight="1">
      <c r="C108" s="1"/>
      <c r="D108" s="1"/>
      <c r="E108" s="1"/>
      <c r="F108" s="1"/>
      <c r="G108" s="1"/>
      <c r="H108" s="1"/>
      <c r="I108" s="2"/>
      <c r="J108" s="63"/>
      <c r="K108" s="63"/>
      <c r="L108" s="63"/>
      <c r="M108" s="3"/>
      <c r="N108" s="3"/>
      <c r="O108" s="3"/>
      <c r="Q108" s="4"/>
      <c r="R108" s="5"/>
      <c r="S108" s="5"/>
    </row>
    <row r="109" spans="3:19" ht="24.75" customHeight="1">
      <c r="C109" s="1"/>
      <c r="D109" s="1"/>
      <c r="E109" s="1"/>
      <c r="F109" s="1"/>
      <c r="G109" s="1"/>
      <c r="H109" s="1"/>
      <c r="I109" s="2"/>
      <c r="J109" s="63"/>
      <c r="K109" s="63"/>
      <c r="L109" s="63"/>
      <c r="M109" s="3"/>
      <c r="N109" s="3"/>
      <c r="O109" s="3"/>
      <c r="Q109" s="4"/>
      <c r="R109" s="5"/>
      <c r="S109" s="5"/>
    </row>
    <row r="110" spans="3:19" ht="24.75" customHeight="1">
      <c r="C110" s="1"/>
      <c r="D110" s="1"/>
      <c r="E110" s="1"/>
      <c r="F110" s="1"/>
      <c r="G110" s="1"/>
      <c r="H110" s="1"/>
      <c r="I110" s="2"/>
      <c r="J110" s="63"/>
      <c r="K110" s="63"/>
      <c r="L110" s="63"/>
      <c r="M110" s="3"/>
      <c r="N110" s="3"/>
      <c r="O110" s="3"/>
      <c r="Q110" s="4"/>
      <c r="R110" s="5"/>
      <c r="S110" s="5"/>
    </row>
    <row r="111" spans="3:19" ht="24.75" customHeight="1">
      <c r="C111" s="1"/>
      <c r="D111" s="1"/>
      <c r="E111" s="1"/>
      <c r="F111" s="1"/>
      <c r="G111" s="1"/>
      <c r="H111" s="1"/>
      <c r="I111" s="2"/>
      <c r="J111" s="63"/>
      <c r="K111" s="63"/>
      <c r="L111" s="63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63"/>
      <c r="K112" s="63"/>
      <c r="L112" s="63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63"/>
      <c r="K113" s="63"/>
      <c r="L113" s="63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63"/>
      <c r="K114" s="63"/>
      <c r="L114" s="63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63"/>
      <c r="K115" s="63"/>
      <c r="L115" s="63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63"/>
      <c r="K116" s="63"/>
      <c r="L116" s="63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63"/>
      <c r="K117" s="63"/>
      <c r="L117" s="63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63"/>
      <c r="K118" s="63"/>
      <c r="L118" s="63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63"/>
      <c r="K119" s="63"/>
      <c r="L119" s="63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63"/>
      <c r="K120" s="63"/>
      <c r="L120" s="63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63"/>
      <c r="K121" s="63"/>
      <c r="L121" s="63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63"/>
      <c r="K122" s="63"/>
      <c r="L122" s="63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63"/>
      <c r="K123" s="63"/>
      <c r="L123" s="63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63"/>
      <c r="K124" s="63"/>
      <c r="L124" s="63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63"/>
      <c r="K125" s="63"/>
      <c r="L125" s="63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63"/>
      <c r="K126" s="63"/>
      <c r="L126" s="63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63"/>
      <c r="K127" s="63"/>
      <c r="L127" s="63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63"/>
      <c r="K128" s="63"/>
      <c r="L128" s="63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63"/>
      <c r="K129" s="63"/>
      <c r="L129" s="63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63"/>
      <c r="K130" s="63"/>
      <c r="L130" s="63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63"/>
      <c r="K131" s="63"/>
      <c r="L131" s="63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63"/>
      <c r="K132" s="63"/>
      <c r="L132" s="63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63"/>
      <c r="K133" s="63"/>
      <c r="L133" s="63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63"/>
      <c r="K134" s="63"/>
      <c r="L134" s="63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63"/>
      <c r="K135" s="63"/>
      <c r="L135" s="63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63"/>
      <c r="K136" s="63"/>
      <c r="L136" s="63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63"/>
      <c r="K137" s="63"/>
      <c r="L137" s="63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63"/>
      <c r="K138" s="63"/>
      <c r="L138" s="63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63"/>
      <c r="K139" s="63"/>
      <c r="L139" s="63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63"/>
      <c r="K140" s="63"/>
      <c r="L140" s="63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63"/>
      <c r="K141" s="63"/>
      <c r="L141" s="63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63"/>
      <c r="K142" s="63"/>
      <c r="L142" s="63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63"/>
      <c r="K143" s="63"/>
      <c r="L143" s="63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63"/>
      <c r="K144" s="63"/>
      <c r="L144" s="63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63"/>
      <c r="K145" s="63"/>
      <c r="L145" s="63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63"/>
      <c r="K146" s="63"/>
      <c r="L146" s="63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63"/>
      <c r="K147" s="63"/>
      <c r="L147" s="63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63"/>
      <c r="K148" s="63"/>
      <c r="L148" s="63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63"/>
      <c r="K149" s="63"/>
      <c r="L149" s="63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63"/>
      <c r="K150" s="63"/>
      <c r="L150" s="63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63"/>
      <c r="K151" s="63"/>
      <c r="L151" s="63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63"/>
      <c r="K152" s="63"/>
      <c r="L152" s="63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63"/>
      <c r="K153" s="63"/>
      <c r="L153" s="63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63"/>
      <c r="K154" s="63"/>
      <c r="L154" s="63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63"/>
      <c r="K155" s="63"/>
      <c r="L155" s="63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63"/>
      <c r="K156" s="63"/>
      <c r="L156" s="63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63"/>
      <c r="K157" s="63"/>
      <c r="L157" s="63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63"/>
      <c r="K158" s="63"/>
      <c r="L158" s="63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63"/>
      <c r="K159" s="63"/>
      <c r="L159" s="63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63"/>
      <c r="K160" s="63"/>
      <c r="L160" s="63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63"/>
      <c r="K161" s="63"/>
      <c r="L161" s="63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63"/>
      <c r="K162" s="63"/>
      <c r="L162" s="63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63"/>
      <c r="K163" s="63"/>
      <c r="L163" s="63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63"/>
      <c r="K164" s="63"/>
      <c r="L164" s="63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63"/>
      <c r="K165" s="63"/>
      <c r="L165" s="63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63"/>
      <c r="K166" s="63"/>
      <c r="L166" s="63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63"/>
      <c r="K167" s="63"/>
      <c r="L167" s="63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63"/>
      <c r="K168" s="63"/>
      <c r="L168" s="63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63"/>
      <c r="K169" s="63"/>
      <c r="L169" s="63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63"/>
      <c r="K170" s="63"/>
      <c r="L170" s="63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63"/>
      <c r="K171" s="63"/>
      <c r="L171" s="63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63"/>
      <c r="K172" s="63"/>
      <c r="L172" s="63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63"/>
      <c r="K173" s="63"/>
      <c r="L173" s="63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63"/>
      <c r="K174" s="63"/>
      <c r="L174" s="63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63"/>
      <c r="K175" s="63"/>
      <c r="L175" s="63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63"/>
      <c r="K176" s="63"/>
      <c r="L176" s="63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63"/>
      <c r="K177" s="63"/>
      <c r="L177" s="63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63"/>
      <c r="K178" s="63"/>
      <c r="L178" s="63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63"/>
      <c r="K179" s="63"/>
      <c r="L179" s="63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63"/>
      <c r="K180" s="63"/>
      <c r="L180" s="63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63"/>
      <c r="K181" s="63"/>
      <c r="L181" s="63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63"/>
      <c r="K182" s="63"/>
      <c r="L182" s="63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63"/>
      <c r="K183" s="63"/>
      <c r="L183" s="63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63"/>
      <c r="K184" s="63"/>
      <c r="L184" s="63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63"/>
      <c r="K185" s="63"/>
      <c r="L185" s="63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63"/>
      <c r="K186" s="63"/>
      <c r="L186" s="63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63"/>
      <c r="K187" s="63"/>
      <c r="L187" s="63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63"/>
      <c r="K188" s="63"/>
      <c r="L188" s="63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63"/>
      <c r="K189" s="63"/>
      <c r="L189" s="63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63"/>
      <c r="K190" s="63"/>
      <c r="L190" s="63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63"/>
      <c r="K191" s="63"/>
      <c r="L191" s="63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63"/>
      <c r="K192" s="63"/>
      <c r="L192" s="63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63"/>
      <c r="K193" s="63"/>
      <c r="L193" s="63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63"/>
      <c r="K194" s="63"/>
      <c r="L194" s="63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63"/>
      <c r="K195" s="63"/>
      <c r="L195" s="63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63"/>
      <c r="K196" s="63"/>
      <c r="L196" s="63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63"/>
      <c r="K197" s="63"/>
      <c r="L197" s="63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63"/>
      <c r="K198" s="63"/>
      <c r="L198" s="63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63"/>
      <c r="K199" s="63"/>
      <c r="L199" s="63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63"/>
      <c r="K200" s="63"/>
      <c r="L200" s="63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63"/>
      <c r="K201" s="63"/>
      <c r="L201" s="63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63"/>
      <c r="K202" s="63"/>
      <c r="L202" s="63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63"/>
      <c r="K203" s="63"/>
      <c r="L203" s="63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63"/>
      <c r="K204" s="63"/>
      <c r="L204" s="63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63"/>
      <c r="K205" s="63"/>
      <c r="L205" s="63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63"/>
      <c r="K206" s="63"/>
      <c r="L206" s="63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63"/>
      <c r="K207" s="63"/>
      <c r="L207" s="63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63"/>
      <c r="K208" s="63"/>
      <c r="L208" s="63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63"/>
      <c r="K209" s="63"/>
      <c r="L209" s="63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63"/>
      <c r="K210" s="63"/>
      <c r="L210" s="63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63"/>
      <c r="K211" s="63"/>
      <c r="L211" s="63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63"/>
      <c r="K212" s="63"/>
      <c r="L212" s="63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63"/>
      <c r="K213" s="63"/>
      <c r="L213" s="63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63"/>
      <c r="K214" s="63"/>
      <c r="L214" s="63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63"/>
      <c r="K215" s="63"/>
      <c r="L215" s="63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63"/>
      <c r="K216" s="63"/>
      <c r="L216" s="63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63"/>
      <c r="K217" s="63"/>
      <c r="L217" s="63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63"/>
      <c r="K218" s="63"/>
      <c r="L218" s="63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63"/>
      <c r="K219" s="63"/>
      <c r="L219" s="63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63"/>
      <c r="K220" s="63"/>
      <c r="L220" s="63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63"/>
      <c r="K221" s="63"/>
      <c r="L221" s="63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63"/>
      <c r="K222" s="63"/>
      <c r="L222" s="63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63"/>
      <c r="K223" s="63"/>
      <c r="L223" s="63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63"/>
      <c r="K224" s="63"/>
      <c r="L224" s="63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63"/>
      <c r="K225" s="63"/>
      <c r="L225" s="63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63"/>
      <c r="K226" s="63"/>
      <c r="L226" s="63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63"/>
      <c r="K227" s="63"/>
      <c r="L227" s="63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63"/>
      <c r="K228" s="63"/>
      <c r="L228" s="63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63"/>
      <c r="K229" s="63"/>
      <c r="L229" s="63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63"/>
      <c r="K230" s="63"/>
      <c r="L230" s="63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63"/>
      <c r="K231" s="63"/>
      <c r="L231" s="63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63"/>
      <c r="K232" s="63"/>
      <c r="L232" s="63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63"/>
      <c r="K233" s="63"/>
      <c r="L233" s="63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63"/>
      <c r="K234" s="63"/>
      <c r="L234" s="63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63"/>
      <c r="K235" s="63"/>
      <c r="L235" s="63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63"/>
      <c r="K236" s="63"/>
      <c r="L236" s="63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63"/>
      <c r="K237" s="63"/>
      <c r="L237" s="63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63"/>
      <c r="K238" s="63"/>
      <c r="L238" s="63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63"/>
      <c r="K239" s="63"/>
      <c r="L239" s="63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63"/>
      <c r="K240" s="63"/>
      <c r="L240" s="63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63"/>
      <c r="K241" s="63"/>
      <c r="L241" s="63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63"/>
      <c r="K242" s="63"/>
      <c r="L242" s="63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63"/>
      <c r="K243" s="63"/>
      <c r="L243" s="63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63"/>
      <c r="K244" s="63"/>
      <c r="L244" s="63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63"/>
      <c r="K245" s="63"/>
      <c r="L245" s="63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63"/>
      <c r="K246" s="63"/>
      <c r="L246" s="63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63"/>
      <c r="K247" s="63"/>
      <c r="L247" s="63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63"/>
      <c r="K248" s="63"/>
      <c r="L248" s="63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63"/>
      <c r="K249" s="63"/>
      <c r="L249" s="63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63"/>
      <c r="K250" s="63"/>
      <c r="L250" s="63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63"/>
      <c r="K251" s="63"/>
      <c r="L251" s="63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63"/>
      <c r="K252" s="63"/>
      <c r="L252" s="63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63"/>
      <c r="K253" s="63"/>
      <c r="L253" s="63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63"/>
      <c r="K254" s="63"/>
      <c r="L254" s="63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63"/>
      <c r="K255" s="63"/>
      <c r="L255" s="63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63"/>
      <c r="K256" s="63"/>
      <c r="L256" s="63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63"/>
      <c r="K257" s="63"/>
      <c r="L257" s="63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63"/>
      <c r="K258" s="63"/>
      <c r="L258" s="63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63"/>
      <c r="K259" s="63"/>
      <c r="L259" s="63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63"/>
      <c r="K260" s="63"/>
      <c r="L260" s="63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63"/>
      <c r="K261" s="63"/>
      <c r="L261" s="63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63"/>
      <c r="K262" s="63"/>
      <c r="L262" s="63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63"/>
      <c r="K263" s="63"/>
      <c r="L263" s="63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63"/>
      <c r="K264" s="63"/>
      <c r="L264" s="63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63"/>
      <c r="K265" s="63"/>
      <c r="L265" s="63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63"/>
      <c r="K266" s="63"/>
      <c r="L266" s="63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63"/>
      <c r="K267" s="63"/>
      <c r="L267" s="63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63"/>
      <c r="K268" s="63"/>
      <c r="L268" s="63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63"/>
      <c r="K269" s="63"/>
      <c r="L269" s="63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63"/>
      <c r="K270" s="63"/>
      <c r="L270" s="63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63"/>
      <c r="K271" s="63"/>
      <c r="L271" s="63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63"/>
      <c r="K272" s="63"/>
      <c r="L272" s="63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63"/>
      <c r="K273" s="63"/>
      <c r="L273" s="63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63"/>
      <c r="K274" s="63"/>
      <c r="L274" s="63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63"/>
      <c r="K275" s="63"/>
      <c r="L275" s="63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63"/>
      <c r="K276" s="63"/>
      <c r="L276" s="63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63"/>
      <c r="K277" s="63"/>
      <c r="L277" s="63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63"/>
      <c r="K278" s="63"/>
      <c r="L278" s="63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63"/>
      <c r="K279" s="63"/>
      <c r="L279" s="63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63"/>
      <c r="K280" s="63"/>
      <c r="L280" s="63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63"/>
      <c r="K281" s="63"/>
      <c r="L281" s="63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63"/>
      <c r="K282" s="63"/>
      <c r="L282" s="63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63"/>
      <c r="K283" s="63"/>
      <c r="L283" s="63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63"/>
      <c r="K284" s="63"/>
      <c r="L284" s="63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63"/>
      <c r="K285" s="63"/>
      <c r="L285" s="63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63"/>
      <c r="K286" s="63"/>
      <c r="L286" s="63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63"/>
      <c r="K287" s="63"/>
      <c r="L287" s="63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63"/>
      <c r="K288" s="63"/>
      <c r="L288" s="63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63"/>
      <c r="K289" s="63"/>
      <c r="L289" s="63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63"/>
      <c r="K290" s="63"/>
      <c r="L290" s="63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63"/>
      <c r="K291" s="63"/>
      <c r="L291" s="63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63"/>
      <c r="K292" s="63"/>
      <c r="L292" s="63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63"/>
      <c r="K293" s="63"/>
      <c r="L293" s="63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63"/>
      <c r="K294" s="63"/>
      <c r="L294" s="63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63"/>
      <c r="K295" s="63"/>
      <c r="L295" s="63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63"/>
      <c r="K296" s="63"/>
      <c r="L296" s="63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63"/>
      <c r="K297" s="63"/>
      <c r="L297" s="63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63"/>
      <c r="K298" s="63"/>
      <c r="L298" s="63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63"/>
      <c r="K299" s="63"/>
      <c r="L299" s="63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63"/>
      <c r="K300" s="63"/>
      <c r="L300" s="63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63"/>
      <c r="K301" s="63"/>
      <c r="L301" s="63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63"/>
      <c r="K302" s="63"/>
      <c r="L302" s="63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63"/>
      <c r="K303" s="63"/>
      <c r="L303" s="63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63"/>
      <c r="K304" s="63"/>
      <c r="L304" s="63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63"/>
      <c r="K305" s="63"/>
      <c r="L305" s="63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63"/>
      <c r="K306" s="63"/>
      <c r="L306" s="63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63"/>
      <c r="K307" s="63"/>
      <c r="L307" s="63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63"/>
      <c r="K308" s="63"/>
      <c r="L308" s="63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63"/>
      <c r="K309" s="63"/>
      <c r="L309" s="63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63"/>
      <c r="K310" s="63"/>
      <c r="L310" s="63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63"/>
      <c r="K311" s="63"/>
      <c r="L311" s="63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63"/>
      <c r="K312" s="63"/>
      <c r="L312" s="63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63"/>
      <c r="K313" s="63"/>
      <c r="L313" s="63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63"/>
      <c r="K314" s="63"/>
      <c r="L314" s="63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63"/>
      <c r="K315" s="63"/>
      <c r="L315" s="63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63"/>
      <c r="K316" s="63"/>
      <c r="L316" s="63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63"/>
      <c r="K317" s="63"/>
      <c r="L317" s="63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63"/>
      <c r="K318" s="63"/>
      <c r="L318" s="63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63"/>
      <c r="K319" s="63"/>
      <c r="L319" s="63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63"/>
      <c r="K320" s="63"/>
      <c r="L320" s="63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63"/>
      <c r="K321" s="63"/>
      <c r="L321" s="63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63"/>
      <c r="K322" s="63"/>
      <c r="L322" s="63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63"/>
      <c r="K323" s="63"/>
      <c r="L323" s="63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63"/>
      <c r="K324" s="63"/>
      <c r="L324" s="63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63"/>
      <c r="K325" s="63"/>
      <c r="L325" s="63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63"/>
      <c r="K326" s="63"/>
      <c r="L326" s="63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63"/>
      <c r="K327" s="63"/>
      <c r="L327" s="63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63"/>
      <c r="K328" s="63"/>
      <c r="L328" s="63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63"/>
      <c r="K329" s="63"/>
      <c r="L329" s="63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63"/>
      <c r="K330" s="63"/>
      <c r="L330" s="63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63"/>
      <c r="K331" s="63"/>
      <c r="L331" s="63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63"/>
      <c r="K332" s="63"/>
      <c r="L332" s="63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63"/>
      <c r="K333" s="63"/>
      <c r="L333" s="63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63"/>
      <c r="K334" s="63"/>
      <c r="L334" s="63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63"/>
      <c r="K335" s="63"/>
      <c r="L335" s="63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63"/>
      <c r="K336" s="63"/>
      <c r="L336" s="63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63"/>
      <c r="K337" s="63"/>
      <c r="L337" s="63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63"/>
      <c r="K338" s="63"/>
      <c r="L338" s="63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63"/>
      <c r="K339" s="63"/>
      <c r="L339" s="63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63"/>
      <c r="K340" s="63"/>
      <c r="L340" s="63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63"/>
      <c r="K341" s="63"/>
      <c r="L341" s="63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63"/>
      <c r="K342" s="63"/>
      <c r="L342" s="63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63"/>
      <c r="K343" s="63"/>
      <c r="L343" s="63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63"/>
      <c r="K344" s="63"/>
      <c r="L344" s="63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63"/>
      <c r="K345" s="63"/>
      <c r="L345" s="63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63"/>
      <c r="K346" s="63"/>
      <c r="L346" s="63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63"/>
      <c r="K347" s="63"/>
      <c r="L347" s="63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63"/>
      <c r="K348" s="63"/>
      <c r="L348" s="63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63"/>
      <c r="K349" s="63"/>
      <c r="L349" s="63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63"/>
      <c r="K350" s="63"/>
      <c r="L350" s="63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63"/>
      <c r="K351" s="63"/>
      <c r="L351" s="63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63"/>
      <c r="K352" s="63"/>
      <c r="L352" s="63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63"/>
      <c r="K353" s="63"/>
      <c r="L353" s="63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63"/>
      <c r="K354" s="63"/>
      <c r="L354" s="63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63"/>
      <c r="K355" s="63"/>
      <c r="L355" s="63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63"/>
      <c r="K356" s="63"/>
      <c r="L356" s="63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63"/>
      <c r="K357" s="63"/>
      <c r="L357" s="63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63"/>
      <c r="K358" s="63"/>
      <c r="L358" s="63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63"/>
      <c r="K359" s="63"/>
      <c r="L359" s="63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63"/>
      <c r="K360" s="63"/>
      <c r="L360" s="63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63"/>
      <c r="K361" s="63"/>
      <c r="L361" s="63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63"/>
      <c r="K362" s="63"/>
      <c r="L362" s="63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63"/>
      <c r="K363" s="63"/>
      <c r="L363" s="63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63"/>
      <c r="K364" s="63"/>
      <c r="L364" s="63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63"/>
      <c r="K365" s="63"/>
      <c r="L365" s="63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63"/>
      <c r="K366" s="63"/>
      <c r="L366" s="63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63"/>
      <c r="K367" s="63"/>
      <c r="L367" s="63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63"/>
      <c r="K368" s="63"/>
      <c r="L368" s="63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63"/>
      <c r="K369" s="63"/>
      <c r="L369" s="63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63"/>
      <c r="K370" s="63"/>
      <c r="L370" s="63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63"/>
      <c r="K371" s="63"/>
      <c r="L371" s="63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63"/>
      <c r="K372" s="63"/>
      <c r="L372" s="63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63"/>
      <c r="K373" s="63"/>
      <c r="L373" s="63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63"/>
      <c r="K374" s="63"/>
      <c r="L374" s="63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63"/>
      <c r="K375" s="63"/>
      <c r="L375" s="63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63"/>
      <c r="K376" s="63"/>
      <c r="L376" s="63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63"/>
      <c r="K377" s="63"/>
      <c r="L377" s="63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63"/>
      <c r="K378" s="63"/>
      <c r="L378" s="63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63"/>
      <c r="K379" s="63"/>
      <c r="L379" s="63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63"/>
      <c r="K380" s="63"/>
      <c r="L380" s="63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63"/>
      <c r="K381" s="63"/>
      <c r="L381" s="63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63"/>
      <c r="K382" s="63"/>
      <c r="L382" s="63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63"/>
      <c r="K383" s="63"/>
      <c r="L383" s="63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63"/>
      <c r="K384" s="63"/>
      <c r="L384" s="63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63"/>
      <c r="K385" s="63"/>
      <c r="L385" s="63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63"/>
      <c r="K386" s="63"/>
      <c r="L386" s="63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63"/>
      <c r="K387" s="63"/>
      <c r="L387" s="63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63"/>
      <c r="K388" s="63"/>
      <c r="L388" s="63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63"/>
      <c r="K389" s="63"/>
      <c r="L389" s="63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63"/>
      <c r="K390" s="63"/>
      <c r="L390" s="63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63"/>
      <c r="K391" s="63"/>
      <c r="L391" s="63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63"/>
      <c r="K392" s="63"/>
      <c r="L392" s="63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63"/>
      <c r="K393" s="63"/>
      <c r="L393" s="63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63"/>
      <c r="K394" s="63"/>
      <c r="L394" s="63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63"/>
      <c r="K395" s="63"/>
      <c r="L395" s="63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63"/>
      <c r="K396" s="63"/>
      <c r="L396" s="63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63"/>
      <c r="K397" s="63"/>
      <c r="L397" s="63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63"/>
      <c r="K398" s="63"/>
      <c r="L398" s="63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63"/>
      <c r="K399" s="63"/>
      <c r="L399" s="63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63"/>
      <c r="K400" s="63"/>
      <c r="L400" s="63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63"/>
      <c r="K401" s="63"/>
      <c r="L401" s="63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63"/>
      <c r="K402" s="63"/>
      <c r="L402" s="63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63"/>
      <c r="K403" s="63"/>
      <c r="L403" s="63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63"/>
      <c r="K404" s="63"/>
      <c r="L404" s="63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63"/>
      <c r="K405" s="63"/>
      <c r="L405" s="63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63"/>
      <c r="K406" s="63"/>
      <c r="L406" s="63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63"/>
      <c r="K407" s="63"/>
      <c r="L407" s="63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63"/>
      <c r="K408" s="63"/>
      <c r="L408" s="63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63"/>
      <c r="K409" s="63"/>
      <c r="L409" s="63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63"/>
      <c r="K410" s="63"/>
      <c r="L410" s="63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63"/>
      <c r="K411" s="63"/>
      <c r="L411" s="63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63"/>
      <c r="K412" s="63"/>
      <c r="L412" s="63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63"/>
      <c r="K413" s="63"/>
      <c r="L413" s="63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63"/>
      <c r="K414" s="63"/>
      <c r="L414" s="63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63"/>
      <c r="K415" s="63"/>
      <c r="L415" s="63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63"/>
      <c r="K416" s="63"/>
      <c r="L416" s="63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63"/>
      <c r="K417" s="63"/>
      <c r="L417" s="63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63"/>
      <c r="K418" s="63"/>
      <c r="L418" s="63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63"/>
      <c r="K419" s="63"/>
      <c r="L419" s="63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63"/>
      <c r="K420" s="63"/>
      <c r="L420" s="63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63"/>
      <c r="K421" s="63"/>
      <c r="L421" s="63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63"/>
      <c r="K422" s="63"/>
      <c r="L422" s="63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63"/>
      <c r="K423" s="63"/>
      <c r="L423" s="63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63"/>
      <c r="K424" s="63"/>
      <c r="L424" s="63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63"/>
      <c r="K425" s="63"/>
      <c r="L425" s="63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63"/>
      <c r="K426" s="63"/>
      <c r="L426" s="63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63"/>
      <c r="K427" s="63"/>
      <c r="L427" s="63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63"/>
      <c r="K428" s="63"/>
      <c r="L428" s="63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63"/>
      <c r="K429" s="63"/>
      <c r="L429" s="63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63"/>
      <c r="K430" s="63"/>
      <c r="L430" s="63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63"/>
      <c r="K431" s="63"/>
      <c r="L431" s="63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63"/>
      <c r="K432" s="63"/>
      <c r="L432" s="63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63"/>
      <c r="K433" s="63"/>
      <c r="L433" s="63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63"/>
      <c r="K434" s="63"/>
      <c r="L434" s="63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63"/>
      <c r="K435" s="63"/>
      <c r="L435" s="63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63"/>
      <c r="K436" s="63"/>
      <c r="L436" s="63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63"/>
      <c r="K437" s="63"/>
      <c r="L437" s="63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63"/>
      <c r="K438" s="63"/>
      <c r="L438" s="63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63"/>
      <c r="K439" s="63"/>
      <c r="L439" s="63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63"/>
      <c r="K440" s="63"/>
      <c r="L440" s="63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63"/>
      <c r="K441" s="63"/>
      <c r="L441" s="63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63"/>
      <c r="K442" s="63"/>
      <c r="L442" s="63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63"/>
      <c r="K443" s="63"/>
      <c r="L443" s="63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63"/>
      <c r="K444" s="63"/>
      <c r="L444" s="63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63"/>
      <c r="K445" s="63"/>
      <c r="L445" s="63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63"/>
      <c r="K446" s="63"/>
      <c r="L446" s="63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63"/>
      <c r="K447" s="63"/>
      <c r="L447" s="63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63"/>
      <c r="K448" s="63"/>
      <c r="L448" s="63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63"/>
      <c r="K449" s="63"/>
      <c r="L449" s="63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63"/>
      <c r="K450" s="63"/>
      <c r="L450" s="63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63"/>
      <c r="K451" s="63"/>
      <c r="L451" s="63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63"/>
      <c r="K452" s="63"/>
      <c r="L452" s="63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63"/>
      <c r="K453" s="63"/>
      <c r="L453" s="63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63"/>
      <c r="K454" s="63"/>
      <c r="L454" s="63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63"/>
      <c r="K455" s="63"/>
      <c r="L455" s="63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63"/>
      <c r="K456" s="63"/>
      <c r="L456" s="63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63"/>
      <c r="K457" s="63"/>
      <c r="L457" s="63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63"/>
      <c r="K458" s="63"/>
      <c r="L458" s="63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63"/>
      <c r="K459" s="63"/>
      <c r="L459" s="63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63"/>
      <c r="K460" s="63"/>
      <c r="L460" s="63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63"/>
      <c r="K461" s="63"/>
      <c r="L461" s="63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63"/>
      <c r="K462" s="63"/>
      <c r="L462" s="63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63"/>
      <c r="K463" s="63"/>
      <c r="L463" s="63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63"/>
      <c r="K464" s="63"/>
      <c r="L464" s="63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63"/>
      <c r="K465" s="63"/>
      <c r="L465" s="63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63"/>
      <c r="K466" s="63"/>
      <c r="L466" s="63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63"/>
      <c r="K467" s="63"/>
      <c r="L467" s="63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63"/>
      <c r="K468" s="63"/>
      <c r="L468" s="63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63"/>
      <c r="K469" s="63"/>
      <c r="L469" s="63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63"/>
      <c r="K470" s="63"/>
      <c r="L470" s="63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63"/>
      <c r="K471" s="63"/>
      <c r="L471" s="63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63"/>
      <c r="K472" s="63"/>
      <c r="L472" s="63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63"/>
      <c r="K473" s="63"/>
      <c r="L473" s="63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63"/>
      <c r="K474" s="63"/>
      <c r="L474" s="63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63"/>
      <c r="K475" s="63"/>
      <c r="L475" s="63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63"/>
      <c r="K476" s="63"/>
      <c r="L476" s="63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63"/>
      <c r="K477" s="63"/>
      <c r="L477" s="63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63"/>
      <c r="K478" s="63"/>
      <c r="L478" s="63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63"/>
      <c r="K479" s="63"/>
      <c r="L479" s="63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63"/>
      <c r="K480" s="63"/>
      <c r="L480" s="63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63"/>
      <c r="K481" s="63"/>
      <c r="L481" s="63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63"/>
      <c r="K482" s="63"/>
      <c r="L482" s="63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63"/>
      <c r="K483" s="63"/>
      <c r="L483" s="63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63"/>
      <c r="K484" s="63"/>
      <c r="L484" s="63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63"/>
      <c r="K485" s="63"/>
      <c r="L485" s="63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63"/>
      <c r="K486" s="63"/>
      <c r="L486" s="63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63"/>
      <c r="K487" s="63"/>
      <c r="L487" s="63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63"/>
      <c r="K488" s="63"/>
      <c r="L488" s="63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63"/>
      <c r="K489" s="63"/>
      <c r="L489" s="63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63"/>
      <c r="K490" s="63"/>
      <c r="L490" s="63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63"/>
      <c r="K491" s="63"/>
      <c r="L491" s="63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63"/>
      <c r="K492" s="63"/>
      <c r="L492" s="63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63"/>
      <c r="K493" s="63"/>
      <c r="L493" s="63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63"/>
      <c r="K494" s="63"/>
      <c r="L494" s="63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63"/>
      <c r="K495" s="63"/>
      <c r="L495" s="63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63"/>
      <c r="K496" s="63"/>
      <c r="L496" s="63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63"/>
      <c r="K497" s="63"/>
      <c r="L497" s="63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63"/>
      <c r="K498" s="63"/>
      <c r="L498" s="63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63"/>
      <c r="K499" s="63"/>
      <c r="L499" s="63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63"/>
      <c r="K500" s="63"/>
      <c r="L500" s="63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63"/>
      <c r="K501" s="63"/>
      <c r="L501" s="63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63"/>
      <c r="K502" s="63"/>
      <c r="L502" s="63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63"/>
      <c r="K503" s="63"/>
      <c r="L503" s="63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63"/>
      <c r="K504" s="63"/>
      <c r="L504" s="63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63"/>
      <c r="K505" s="63"/>
      <c r="L505" s="63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63"/>
      <c r="K506" s="63"/>
      <c r="L506" s="63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63"/>
      <c r="K507" s="63"/>
      <c r="L507" s="63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63"/>
      <c r="K508" s="63"/>
      <c r="L508" s="63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63"/>
      <c r="K509" s="63"/>
      <c r="L509" s="63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63"/>
      <c r="K510" s="63"/>
      <c r="L510" s="63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63"/>
      <c r="K511" s="63"/>
      <c r="L511" s="63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63"/>
      <c r="K512" s="63"/>
      <c r="L512" s="63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63"/>
      <c r="K513" s="63"/>
      <c r="L513" s="63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63"/>
      <c r="K514" s="63"/>
      <c r="L514" s="63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63"/>
      <c r="K515" s="63"/>
      <c r="L515" s="63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63"/>
      <c r="K516" s="63"/>
      <c r="L516" s="63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63"/>
      <c r="K517" s="63"/>
      <c r="L517" s="63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63"/>
      <c r="K518" s="63"/>
      <c r="L518" s="63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63"/>
      <c r="K519" s="63"/>
      <c r="L519" s="63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63"/>
      <c r="K520" s="63"/>
      <c r="L520" s="63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63"/>
      <c r="K521" s="63"/>
      <c r="L521" s="63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63"/>
      <c r="K522" s="63"/>
      <c r="L522" s="63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63"/>
      <c r="K523" s="63"/>
      <c r="L523" s="63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63"/>
      <c r="K524" s="63"/>
      <c r="L524" s="63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63"/>
      <c r="K525" s="63"/>
      <c r="L525" s="63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63"/>
      <c r="K526" s="63"/>
      <c r="L526" s="63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63"/>
      <c r="K527" s="63"/>
      <c r="L527" s="63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63"/>
      <c r="K528" s="63"/>
      <c r="L528" s="63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63"/>
      <c r="K529" s="63"/>
      <c r="L529" s="63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63"/>
      <c r="K530" s="63"/>
      <c r="L530" s="63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63"/>
      <c r="K531" s="63"/>
      <c r="L531" s="63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63"/>
      <c r="K532" s="63"/>
      <c r="L532" s="63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63"/>
      <c r="K533" s="63"/>
      <c r="L533" s="63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63"/>
      <c r="K534" s="63"/>
      <c r="L534" s="63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63"/>
      <c r="K535" s="63"/>
      <c r="L535" s="63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63"/>
      <c r="K536" s="63"/>
      <c r="L536" s="63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63"/>
      <c r="K537" s="63"/>
      <c r="L537" s="63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63"/>
      <c r="K538" s="63"/>
      <c r="L538" s="63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63"/>
      <c r="K539" s="63"/>
      <c r="L539" s="63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63"/>
      <c r="K540" s="63"/>
      <c r="L540" s="63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63"/>
      <c r="K541" s="63"/>
      <c r="L541" s="63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63"/>
      <c r="K542" s="63"/>
      <c r="L542" s="63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63"/>
      <c r="K543" s="63"/>
      <c r="L543" s="63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63"/>
      <c r="K544" s="63"/>
      <c r="L544" s="63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63"/>
      <c r="K545" s="63"/>
      <c r="L545" s="63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63"/>
      <c r="K546" s="63"/>
      <c r="L546" s="63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63"/>
      <c r="K547" s="63"/>
      <c r="L547" s="63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63"/>
      <c r="K548" s="63"/>
      <c r="L548" s="63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63"/>
      <c r="K549" s="63"/>
      <c r="L549" s="63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63"/>
      <c r="K550" s="63"/>
      <c r="L550" s="63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63"/>
      <c r="K551" s="63"/>
      <c r="L551" s="63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63"/>
      <c r="K552" s="63"/>
      <c r="L552" s="63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63"/>
      <c r="K553" s="63"/>
      <c r="L553" s="63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63"/>
      <c r="K554" s="63"/>
      <c r="L554" s="63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63"/>
      <c r="K555" s="63"/>
      <c r="L555" s="63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63"/>
      <c r="K556" s="63"/>
      <c r="L556" s="63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63"/>
      <c r="K557" s="63"/>
      <c r="L557" s="63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63"/>
      <c r="K558" s="63"/>
      <c r="L558" s="63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63"/>
      <c r="K559" s="63"/>
      <c r="L559" s="63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63"/>
      <c r="K560" s="63"/>
      <c r="L560" s="63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63"/>
      <c r="K561" s="63"/>
      <c r="L561" s="63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63"/>
      <c r="K562" s="63"/>
      <c r="L562" s="63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63"/>
      <c r="K563" s="63"/>
      <c r="L563" s="63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63"/>
      <c r="K564" s="63"/>
      <c r="L564" s="63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63"/>
      <c r="K565" s="63"/>
      <c r="L565" s="63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63"/>
      <c r="K566" s="63"/>
      <c r="L566" s="63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63"/>
      <c r="K567" s="63"/>
      <c r="L567" s="63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63"/>
      <c r="K568" s="63"/>
      <c r="L568" s="63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63"/>
      <c r="K569" s="63"/>
      <c r="L569" s="63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63"/>
      <c r="K570" s="63"/>
      <c r="L570" s="63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63"/>
      <c r="K571" s="63"/>
      <c r="L571" s="63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63"/>
      <c r="K572" s="63"/>
      <c r="L572" s="63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63"/>
      <c r="K573" s="63"/>
      <c r="L573" s="63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63"/>
      <c r="K574" s="63"/>
      <c r="L574" s="63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63"/>
      <c r="K575" s="63"/>
      <c r="L575" s="63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63"/>
      <c r="K576" s="63"/>
      <c r="L576" s="63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63"/>
      <c r="K577" s="63"/>
      <c r="L577" s="63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63"/>
      <c r="K578" s="63"/>
      <c r="L578" s="63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63"/>
      <c r="K579" s="63"/>
      <c r="L579" s="63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63"/>
      <c r="K580" s="63"/>
      <c r="L580" s="63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63"/>
      <c r="K581" s="63"/>
      <c r="L581" s="63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63"/>
      <c r="K582" s="63"/>
      <c r="L582" s="63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63"/>
      <c r="K583" s="63"/>
      <c r="L583" s="63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63"/>
      <c r="K584" s="63"/>
      <c r="L584" s="63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63"/>
      <c r="K585" s="63"/>
      <c r="L585" s="63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63"/>
      <c r="K586" s="63"/>
      <c r="L586" s="63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63"/>
      <c r="K587" s="63"/>
      <c r="L587" s="63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63"/>
      <c r="K588" s="63"/>
      <c r="L588" s="63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63"/>
      <c r="K589" s="63"/>
      <c r="L589" s="63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63"/>
      <c r="K590" s="63"/>
      <c r="L590" s="63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63"/>
      <c r="K591" s="63"/>
      <c r="L591" s="63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63"/>
      <c r="K592" s="63"/>
      <c r="L592" s="63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63"/>
      <c r="K593" s="63"/>
      <c r="L593" s="63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63"/>
      <c r="K594" s="63"/>
      <c r="L594" s="63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63"/>
      <c r="K595" s="63"/>
      <c r="L595" s="63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63"/>
      <c r="K596" s="63"/>
      <c r="L596" s="63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63"/>
      <c r="K597" s="63"/>
      <c r="L597" s="63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63"/>
      <c r="K598" s="63"/>
      <c r="L598" s="63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63"/>
      <c r="K599" s="63"/>
      <c r="L599" s="63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63"/>
      <c r="K600" s="63"/>
      <c r="L600" s="63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63"/>
      <c r="K601" s="63"/>
      <c r="L601" s="63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63"/>
      <c r="K602" s="63"/>
      <c r="L602" s="63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63"/>
      <c r="K603" s="63"/>
      <c r="L603" s="63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63"/>
      <c r="K604" s="63"/>
      <c r="L604" s="63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63"/>
      <c r="K605" s="63"/>
      <c r="L605" s="63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63"/>
      <c r="K606" s="63"/>
      <c r="L606" s="63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63"/>
      <c r="K607" s="63"/>
      <c r="L607" s="63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63"/>
      <c r="K608" s="63"/>
      <c r="L608" s="63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63"/>
      <c r="K609" s="63"/>
      <c r="L609" s="63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63"/>
      <c r="K610" s="63"/>
      <c r="L610" s="63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63"/>
      <c r="K611" s="63"/>
      <c r="L611" s="63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63"/>
      <c r="K612" s="63"/>
      <c r="L612" s="63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63"/>
      <c r="K613" s="63"/>
      <c r="L613" s="63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63"/>
      <c r="K614" s="63"/>
      <c r="L614" s="63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63"/>
      <c r="K615" s="63"/>
      <c r="L615" s="63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63"/>
      <c r="K616" s="63"/>
      <c r="L616" s="63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63"/>
      <c r="K617" s="63"/>
      <c r="L617" s="63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63"/>
      <c r="K618" s="63"/>
      <c r="L618" s="63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63"/>
      <c r="K619" s="63"/>
      <c r="L619" s="63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63"/>
      <c r="K620" s="63"/>
      <c r="L620" s="63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63"/>
      <c r="K621" s="63"/>
      <c r="L621" s="63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63"/>
      <c r="K622" s="63"/>
      <c r="L622" s="63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63"/>
      <c r="K623" s="63"/>
      <c r="L623" s="63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63"/>
      <c r="K624" s="63"/>
      <c r="L624" s="63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63"/>
      <c r="K625" s="63"/>
      <c r="L625" s="63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63"/>
      <c r="K626" s="63"/>
      <c r="L626" s="63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63"/>
      <c r="K627" s="63"/>
      <c r="L627" s="63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63"/>
      <c r="K628" s="63"/>
      <c r="L628" s="63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63"/>
      <c r="K629" s="63"/>
      <c r="L629" s="63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63"/>
      <c r="K630" s="63"/>
      <c r="L630" s="63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63"/>
      <c r="K631" s="63"/>
      <c r="L631" s="63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63"/>
      <c r="K632" s="63"/>
      <c r="L632" s="63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63"/>
      <c r="K633" s="63"/>
      <c r="L633" s="63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63"/>
      <c r="K634" s="63"/>
      <c r="L634" s="63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63"/>
      <c r="K635" s="63"/>
      <c r="L635" s="63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63"/>
      <c r="K636" s="63"/>
      <c r="L636" s="63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63"/>
      <c r="K637" s="63"/>
      <c r="L637" s="63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63"/>
      <c r="K638" s="63"/>
      <c r="L638" s="63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63"/>
      <c r="K639" s="63"/>
      <c r="L639" s="63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63"/>
      <c r="K640" s="63"/>
      <c r="L640" s="63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63"/>
      <c r="K641" s="63"/>
      <c r="L641" s="63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63"/>
      <c r="K642" s="63"/>
      <c r="L642" s="63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63"/>
      <c r="K643" s="63"/>
      <c r="L643" s="63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63"/>
      <c r="K644" s="63"/>
      <c r="L644" s="63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63"/>
      <c r="K645" s="63"/>
      <c r="L645" s="63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63"/>
      <c r="K646" s="63"/>
      <c r="L646" s="63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63"/>
      <c r="K647" s="63"/>
      <c r="L647" s="63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63"/>
      <c r="K648" s="63"/>
      <c r="L648" s="63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63"/>
      <c r="K649" s="63"/>
      <c r="L649" s="63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63"/>
      <c r="K650" s="63"/>
      <c r="L650" s="63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63"/>
      <c r="K651" s="63"/>
      <c r="L651" s="63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63"/>
      <c r="K652" s="63"/>
      <c r="L652" s="63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63"/>
      <c r="K653" s="63"/>
      <c r="L653" s="63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63"/>
      <c r="K654" s="63"/>
      <c r="L654" s="63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63"/>
      <c r="K655" s="63"/>
      <c r="L655" s="63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63"/>
      <c r="K656" s="63"/>
      <c r="L656" s="63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63"/>
      <c r="K657" s="63"/>
      <c r="L657" s="63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63"/>
      <c r="K658" s="63"/>
      <c r="L658" s="63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63"/>
      <c r="K659" s="63"/>
      <c r="L659" s="63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63"/>
      <c r="K660" s="63"/>
      <c r="L660" s="63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63"/>
      <c r="K661" s="63"/>
      <c r="L661" s="63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63"/>
      <c r="K662" s="63"/>
      <c r="L662" s="63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63"/>
      <c r="K663" s="63"/>
      <c r="L663" s="63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63"/>
      <c r="K664" s="63"/>
      <c r="L664" s="63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63"/>
      <c r="K665" s="63"/>
      <c r="L665" s="63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63"/>
      <c r="K666" s="63"/>
      <c r="L666" s="63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63"/>
      <c r="K667" s="63"/>
      <c r="L667" s="63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63"/>
      <c r="K668" s="63"/>
      <c r="L668" s="63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63"/>
      <c r="K669" s="63"/>
      <c r="L669" s="63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63"/>
      <c r="K670" s="63"/>
      <c r="L670" s="63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63"/>
      <c r="K671" s="63"/>
      <c r="L671" s="63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63"/>
      <c r="K672" s="63"/>
      <c r="L672" s="63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63"/>
      <c r="K673" s="63"/>
      <c r="L673" s="63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63"/>
      <c r="K674" s="63"/>
      <c r="L674" s="63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63"/>
      <c r="K675" s="63"/>
      <c r="L675" s="63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63"/>
      <c r="K676" s="63"/>
      <c r="L676" s="63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63"/>
      <c r="K677" s="63"/>
      <c r="L677" s="63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63"/>
      <c r="K678" s="63"/>
      <c r="L678" s="63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63"/>
      <c r="K679" s="63"/>
      <c r="L679" s="63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63"/>
      <c r="K680" s="63"/>
      <c r="L680" s="63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63"/>
      <c r="K681" s="63"/>
      <c r="L681" s="63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63"/>
      <c r="K682" s="63"/>
      <c r="L682" s="63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63"/>
      <c r="K683" s="63"/>
      <c r="L683" s="63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63"/>
      <c r="K684" s="63"/>
      <c r="L684" s="63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63"/>
      <c r="K685" s="63"/>
      <c r="L685" s="63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63"/>
      <c r="K686" s="63"/>
      <c r="L686" s="63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63"/>
      <c r="K687" s="63"/>
      <c r="L687" s="63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63"/>
      <c r="K688" s="63"/>
      <c r="L688" s="63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63"/>
      <c r="K689" s="63"/>
      <c r="L689" s="63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63"/>
      <c r="K690" s="63"/>
      <c r="L690" s="63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63"/>
      <c r="K691" s="63"/>
      <c r="L691" s="63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63"/>
      <c r="K692" s="63"/>
      <c r="L692" s="63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63"/>
      <c r="K693" s="63"/>
      <c r="L693" s="63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63"/>
      <c r="K694" s="63"/>
      <c r="L694" s="63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63"/>
      <c r="K695" s="63"/>
      <c r="L695" s="63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63"/>
      <c r="K696" s="63"/>
      <c r="L696" s="63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63"/>
      <c r="K697" s="63"/>
      <c r="L697" s="63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63"/>
      <c r="K698" s="63"/>
      <c r="L698" s="63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63"/>
      <c r="K699" s="63"/>
      <c r="L699" s="63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63"/>
      <c r="K700" s="63"/>
      <c r="L700" s="63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63"/>
      <c r="K701" s="63"/>
      <c r="L701" s="63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63"/>
      <c r="K702" s="63"/>
      <c r="L702" s="63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63"/>
      <c r="K703" s="63"/>
      <c r="L703" s="63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63"/>
      <c r="K704" s="63"/>
      <c r="L704" s="63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63"/>
      <c r="K705" s="63"/>
      <c r="L705" s="63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63"/>
      <c r="K706" s="63"/>
      <c r="L706" s="63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63"/>
      <c r="K707" s="63"/>
      <c r="L707" s="63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63"/>
      <c r="K708" s="63"/>
      <c r="L708" s="63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63"/>
      <c r="K709" s="63"/>
      <c r="L709" s="63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63"/>
      <c r="K710" s="63"/>
      <c r="L710" s="63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63"/>
      <c r="K711" s="63"/>
      <c r="L711" s="63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63"/>
      <c r="K712" s="63"/>
      <c r="L712" s="63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63"/>
      <c r="K713" s="63"/>
      <c r="L713" s="63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63"/>
      <c r="K714" s="63"/>
      <c r="L714" s="63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63"/>
      <c r="K715" s="63"/>
      <c r="L715" s="63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63"/>
      <c r="K716" s="63"/>
      <c r="L716" s="63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63"/>
      <c r="K717" s="63"/>
      <c r="L717" s="63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63"/>
      <c r="K718" s="63"/>
      <c r="L718" s="63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63"/>
      <c r="K719" s="63"/>
      <c r="L719" s="63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63"/>
      <c r="K720" s="63"/>
      <c r="L720" s="63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63"/>
      <c r="K721" s="63"/>
      <c r="L721" s="63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63"/>
      <c r="K722" s="63"/>
      <c r="L722" s="63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63"/>
      <c r="K723" s="63"/>
      <c r="L723" s="63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63"/>
      <c r="K724" s="63"/>
      <c r="L724" s="63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63"/>
      <c r="K725" s="63"/>
      <c r="L725" s="63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63"/>
      <c r="K726" s="63"/>
      <c r="L726" s="63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63"/>
      <c r="K727" s="63"/>
      <c r="L727" s="63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63"/>
      <c r="K728" s="63"/>
      <c r="L728" s="63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63"/>
      <c r="K729" s="63"/>
      <c r="L729" s="63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63"/>
      <c r="K730" s="63"/>
      <c r="L730" s="63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63"/>
      <c r="K731" s="63"/>
      <c r="L731" s="63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63"/>
      <c r="K732" s="63"/>
      <c r="L732" s="63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63"/>
      <c r="K733" s="63"/>
      <c r="L733" s="63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63"/>
      <c r="K734" s="63"/>
      <c r="L734" s="63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63"/>
      <c r="K735" s="63"/>
      <c r="L735" s="63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63"/>
      <c r="K736" s="63"/>
      <c r="L736" s="63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63"/>
      <c r="K737" s="63"/>
      <c r="L737" s="63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63"/>
      <c r="K738" s="63"/>
      <c r="L738" s="63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63"/>
      <c r="K739" s="63"/>
      <c r="L739" s="63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63"/>
      <c r="K740" s="63"/>
      <c r="L740" s="63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63"/>
      <c r="K741" s="63"/>
      <c r="L741" s="63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63"/>
      <c r="K742" s="63"/>
      <c r="L742" s="63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63"/>
      <c r="K743" s="63"/>
      <c r="L743" s="63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63"/>
      <c r="K744" s="63"/>
      <c r="L744" s="63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63"/>
      <c r="K745" s="63"/>
      <c r="L745" s="63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63"/>
      <c r="K746" s="63"/>
      <c r="L746" s="63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63"/>
      <c r="K747" s="63"/>
      <c r="L747" s="63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63"/>
      <c r="K748" s="63"/>
      <c r="L748" s="63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63"/>
      <c r="K749" s="63"/>
      <c r="L749" s="63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63"/>
      <c r="K750" s="63"/>
      <c r="L750" s="63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63"/>
      <c r="K751" s="63"/>
      <c r="L751" s="63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63"/>
      <c r="K752" s="63"/>
      <c r="L752" s="63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63"/>
      <c r="K753" s="63"/>
      <c r="L753" s="63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63"/>
      <c r="K754" s="63"/>
      <c r="L754" s="63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63"/>
      <c r="K755" s="63"/>
      <c r="L755" s="63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63"/>
      <c r="K756" s="63"/>
      <c r="L756" s="63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63"/>
      <c r="K757" s="63"/>
      <c r="L757" s="63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63"/>
      <c r="K758" s="63"/>
      <c r="L758" s="63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63"/>
      <c r="K759" s="63"/>
      <c r="L759" s="63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63"/>
      <c r="K760" s="63"/>
      <c r="L760" s="63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63"/>
      <c r="K761" s="63"/>
      <c r="L761" s="63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63"/>
      <c r="K762" s="63"/>
      <c r="L762" s="63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63"/>
      <c r="K763" s="63"/>
      <c r="L763" s="63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63"/>
      <c r="K764" s="63"/>
      <c r="L764" s="63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63"/>
      <c r="K765" s="63"/>
      <c r="L765" s="63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63"/>
      <c r="K766" s="63"/>
      <c r="L766" s="63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63"/>
      <c r="K767" s="63"/>
      <c r="L767" s="63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63"/>
      <c r="K768" s="63"/>
      <c r="L768" s="63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63"/>
      <c r="K769" s="63"/>
      <c r="L769" s="63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63"/>
      <c r="K770" s="63"/>
      <c r="L770" s="63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63"/>
      <c r="K771" s="63"/>
      <c r="L771" s="63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63"/>
      <c r="K772" s="63"/>
      <c r="L772" s="63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63"/>
      <c r="K773" s="63"/>
      <c r="L773" s="63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63"/>
      <c r="K774" s="63"/>
      <c r="L774" s="63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63"/>
      <c r="K775" s="63"/>
      <c r="L775" s="63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63"/>
      <c r="K776" s="63"/>
      <c r="L776" s="63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63"/>
      <c r="K777" s="63"/>
      <c r="L777" s="63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63"/>
      <c r="K778" s="63"/>
      <c r="L778" s="63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63"/>
      <c r="K779" s="63"/>
      <c r="L779" s="63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63"/>
      <c r="K780" s="63"/>
      <c r="L780" s="63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63"/>
      <c r="K781" s="63"/>
      <c r="L781" s="63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63"/>
      <c r="K782" s="63"/>
      <c r="L782" s="63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63"/>
      <c r="K783" s="63"/>
      <c r="L783" s="63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63"/>
      <c r="K784" s="63"/>
      <c r="L784" s="63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63"/>
      <c r="K785" s="63"/>
      <c r="L785" s="63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63"/>
      <c r="K786" s="63"/>
      <c r="L786" s="63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63"/>
      <c r="K787" s="63"/>
      <c r="L787" s="63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63"/>
      <c r="K788" s="63"/>
      <c r="L788" s="63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63"/>
      <c r="K789" s="63"/>
      <c r="L789" s="63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63"/>
      <c r="K790" s="63"/>
      <c r="L790" s="63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63"/>
      <c r="K791" s="63"/>
      <c r="L791" s="63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63"/>
      <c r="K792" s="63"/>
      <c r="L792" s="63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63"/>
      <c r="K793" s="63"/>
      <c r="L793" s="63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63"/>
      <c r="K794" s="63"/>
      <c r="L794" s="63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63"/>
      <c r="K795" s="63"/>
      <c r="L795" s="63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63"/>
      <c r="K796" s="63"/>
      <c r="L796" s="63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63"/>
      <c r="K797" s="63"/>
      <c r="L797" s="63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63"/>
      <c r="K798" s="63"/>
      <c r="L798" s="63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63"/>
      <c r="K799" s="63"/>
      <c r="L799" s="63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63"/>
      <c r="K800" s="63"/>
      <c r="L800" s="63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63"/>
      <c r="K801" s="63"/>
      <c r="L801" s="63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63"/>
      <c r="K802" s="63"/>
      <c r="L802" s="63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63"/>
      <c r="K803" s="63"/>
      <c r="L803" s="63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63"/>
      <c r="K804" s="63"/>
      <c r="L804" s="63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63"/>
      <c r="K805" s="63"/>
      <c r="L805" s="63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63"/>
      <c r="K806" s="63"/>
      <c r="L806" s="63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63"/>
      <c r="K807" s="63"/>
      <c r="L807" s="63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63"/>
      <c r="K808" s="63"/>
      <c r="L808" s="63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63"/>
      <c r="K809" s="63"/>
      <c r="L809" s="63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63"/>
      <c r="K810" s="63"/>
      <c r="L810" s="63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63"/>
      <c r="K811" s="63"/>
      <c r="L811" s="63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63"/>
      <c r="K812" s="63"/>
      <c r="L812" s="63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63"/>
      <c r="K813" s="63"/>
      <c r="L813" s="63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63"/>
      <c r="K814" s="63"/>
      <c r="L814" s="63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63"/>
      <c r="K815" s="63"/>
      <c r="L815" s="63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63"/>
      <c r="K816" s="63"/>
      <c r="L816" s="63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63"/>
      <c r="K817" s="63"/>
      <c r="L817" s="63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63"/>
      <c r="K818" s="63"/>
      <c r="L818" s="63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63"/>
      <c r="K819" s="63"/>
      <c r="L819" s="63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63"/>
      <c r="K820" s="63"/>
      <c r="L820" s="63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63"/>
      <c r="K821" s="63"/>
      <c r="L821" s="63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63"/>
      <c r="K822" s="63"/>
      <c r="L822" s="63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63"/>
      <c r="K823" s="63"/>
      <c r="L823" s="63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63"/>
      <c r="K824" s="63"/>
      <c r="L824" s="63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63"/>
      <c r="K825" s="63"/>
      <c r="L825" s="63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63"/>
      <c r="K826" s="63"/>
      <c r="L826" s="63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63"/>
      <c r="K827" s="63"/>
      <c r="L827" s="63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63"/>
      <c r="K828" s="63"/>
      <c r="L828" s="63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63"/>
      <c r="K829" s="63"/>
      <c r="L829" s="63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63"/>
      <c r="K830" s="63"/>
      <c r="L830" s="63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63"/>
      <c r="K831" s="63"/>
      <c r="L831" s="63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63"/>
      <c r="K832" s="63"/>
      <c r="L832" s="63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63"/>
      <c r="K833" s="63"/>
      <c r="L833" s="63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63"/>
      <c r="K834" s="63"/>
      <c r="L834" s="63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63"/>
      <c r="K835" s="63"/>
      <c r="L835" s="63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63"/>
      <c r="K836" s="63"/>
      <c r="L836" s="63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63"/>
      <c r="K837" s="63"/>
      <c r="L837" s="63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63"/>
      <c r="K838" s="63"/>
      <c r="L838" s="63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63"/>
      <c r="K839" s="63"/>
      <c r="L839" s="63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63"/>
      <c r="K840" s="63"/>
      <c r="L840" s="63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63"/>
      <c r="K841" s="63"/>
      <c r="L841" s="63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63"/>
      <c r="K842" s="63"/>
      <c r="L842" s="63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63"/>
      <c r="K843" s="63"/>
      <c r="L843" s="63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63"/>
      <c r="K844" s="63"/>
      <c r="L844" s="63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63"/>
      <c r="K845" s="63"/>
      <c r="L845" s="63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63"/>
      <c r="K846" s="63"/>
      <c r="L846" s="63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63"/>
      <c r="K847" s="63"/>
      <c r="L847" s="63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63"/>
      <c r="K848" s="63"/>
      <c r="L848" s="63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63"/>
      <c r="K849" s="63"/>
      <c r="L849" s="63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63"/>
      <c r="K850" s="63"/>
      <c r="L850" s="63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63"/>
      <c r="K851" s="63"/>
      <c r="L851" s="63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63"/>
      <c r="K852" s="63"/>
      <c r="L852" s="63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63"/>
      <c r="K853" s="63"/>
      <c r="L853" s="63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63"/>
      <c r="K854" s="63"/>
      <c r="L854" s="63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63"/>
      <c r="K855" s="63"/>
      <c r="L855" s="63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63"/>
      <c r="K856" s="63"/>
      <c r="L856" s="63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63"/>
      <c r="K857" s="63"/>
      <c r="L857" s="63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63"/>
      <c r="K858" s="63"/>
      <c r="L858" s="63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63"/>
      <c r="K859" s="63"/>
      <c r="L859" s="63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63"/>
      <c r="K860" s="63"/>
      <c r="L860" s="63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63"/>
      <c r="K861" s="63"/>
      <c r="L861" s="63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63"/>
      <c r="K862" s="63"/>
      <c r="L862" s="63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63"/>
      <c r="K863" s="63"/>
      <c r="L863" s="63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63"/>
      <c r="K864" s="63"/>
      <c r="L864" s="63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63"/>
      <c r="K865" s="63"/>
      <c r="L865" s="63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63"/>
      <c r="K866" s="63"/>
      <c r="L866" s="63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63"/>
      <c r="K867" s="63"/>
      <c r="L867" s="63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63"/>
      <c r="K868" s="63"/>
      <c r="L868" s="63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63"/>
      <c r="K869" s="63"/>
      <c r="L869" s="63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63"/>
      <c r="K870" s="63"/>
      <c r="L870" s="63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63"/>
      <c r="K871" s="63"/>
      <c r="L871" s="63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63"/>
      <c r="K872" s="63"/>
      <c r="L872" s="63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63"/>
      <c r="K873" s="63"/>
      <c r="L873" s="63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63"/>
      <c r="K874" s="63"/>
      <c r="L874" s="63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63"/>
      <c r="K875" s="63"/>
      <c r="L875" s="63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63"/>
      <c r="K876" s="63"/>
      <c r="L876" s="63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63"/>
      <c r="K877" s="63"/>
      <c r="L877" s="63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63"/>
      <c r="K878" s="63"/>
      <c r="L878" s="63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63"/>
      <c r="K879" s="63"/>
      <c r="L879" s="63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63"/>
      <c r="K880" s="63"/>
      <c r="L880" s="63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63"/>
      <c r="K881" s="63"/>
      <c r="L881" s="63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63"/>
      <c r="K882" s="63"/>
      <c r="L882" s="63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63"/>
      <c r="K883" s="63"/>
      <c r="L883" s="63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63"/>
      <c r="K884" s="63"/>
      <c r="L884" s="63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63"/>
      <c r="K885" s="63"/>
      <c r="L885" s="63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63"/>
      <c r="K886" s="63"/>
      <c r="L886" s="63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63"/>
      <c r="K887" s="63"/>
      <c r="L887" s="63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63"/>
      <c r="K888" s="63"/>
      <c r="L888" s="63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63"/>
      <c r="K889" s="63"/>
      <c r="L889" s="63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63"/>
      <c r="K890" s="63"/>
      <c r="L890" s="63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63"/>
      <c r="K891" s="63"/>
      <c r="L891" s="63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63"/>
      <c r="K892" s="63"/>
      <c r="L892" s="63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63"/>
      <c r="K893" s="63"/>
      <c r="L893" s="63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63"/>
      <c r="K894" s="63"/>
      <c r="L894" s="63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63"/>
      <c r="K895" s="63"/>
      <c r="L895" s="63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63"/>
      <c r="K896" s="63"/>
      <c r="L896" s="63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63"/>
      <c r="K897" s="63"/>
      <c r="L897" s="63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63"/>
      <c r="K898" s="63"/>
      <c r="L898" s="63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63"/>
      <c r="K899" s="63"/>
      <c r="L899" s="63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63"/>
      <c r="K900" s="63"/>
      <c r="L900" s="63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63"/>
      <c r="K901" s="63"/>
      <c r="L901" s="63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63"/>
      <c r="K902" s="63"/>
      <c r="L902" s="63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63"/>
      <c r="K903" s="63"/>
      <c r="L903" s="63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63"/>
      <c r="K904" s="63"/>
      <c r="L904" s="63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63"/>
      <c r="K905" s="63"/>
      <c r="L905" s="63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63"/>
      <c r="K906" s="63"/>
      <c r="L906" s="63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63"/>
      <c r="K907" s="63"/>
      <c r="L907" s="63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63"/>
      <c r="K908" s="63"/>
      <c r="L908" s="63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63"/>
      <c r="K909" s="63"/>
      <c r="L909" s="63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63"/>
      <c r="K910" s="63"/>
      <c r="L910" s="63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63"/>
      <c r="K911" s="63"/>
      <c r="L911" s="63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63"/>
      <c r="K912" s="63"/>
      <c r="L912" s="63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63"/>
      <c r="K913" s="63"/>
      <c r="L913" s="63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63"/>
      <c r="K914" s="63"/>
      <c r="L914" s="63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63"/>
      <c r="K915" s="63"/>
      <c r="L915" s="63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63"/>
      <c r="K916" s="63"/>
      <c r="L916" s="63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63"/>
      <c r="K917" s="63"/>
      <c r="L917" s="63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63"/>
      <c r="K918" s="63"/>
      <c r="L918" s="63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63"/>
      <c r="K919" s="63"/>
      <c r="L919" s="63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63"/>
      <c r="K920" s="63"/>
      <c r="L920" s="63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63"/>
      <c r="K921" s="63"/>
      <c r="L921" s="63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63"/>
      <c r="K922" s="63"/>
      <c r="L922" s="63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63"/>
      <c r="K923" s="63"/>
      <c r="L923" s="63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63"/>
      <c r="K924" s="63"/>
      <c r="L924" s="63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63"/>
      <c r="K925" s="63"/>
      <c r="L925" s="63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63"/>
      <c r="K926" s="63"/>
      <c r="L926" s="63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63"/>
      <c r="K927" s="63"/>
      <c r="L927" s="63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63"/>
      <c r="K928" s="63"/>
      <c r="L928" s="63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63"/>
      <c r="K929" s="63"/>
      <c r="L929" s="63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63"/>
      <c r="K930" s="63"/>
      <c r="L930" s="63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63"/>
      <c r="K931" s="63"/>
      <c r="L931" s="63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63"/>
      <c r="K932" s="63"/>
      <c r="L932" s="63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63"/>
      <c r="K933" s="63"/>
      <c r="L933" s="63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63"/>
      <c r="K934" s="63"/>
      <c r="L934" s="63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63"/>
      <c r="K935" s="63"/>
      <c r="L935" s="63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63"/>
      <c r="K936" s="63"/>
      <c r="L936" s="63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63"/>
      <c r="K937" s="63"/>
      <c r="L937" s="63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63"/>
      <c r="K938" s="63"/>
      <c r="L938" s="63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63"/>
      <c r="K939" s="63"/>
      <c r="L939" s="63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63"/>
      <c r="K940" s="63"/>
      <c r="L940" s="63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63"/>
      <c r="K941" s="63"/>
      <c r="L941" s="63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63"/>
      <c r="K942" s="63"/>
      <c r="L942" s="63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63"/>
      <c r="K943" s="63"/>
      <c r="L943" s="63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63"/>
      <c r="K944" s="63"/>
      <c r="L944" s="63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63"/>
      <c r="K945" s="63"/>
      <c r="L945" s="63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63"/>
      <c r="K946" s="63"/>
      <c r="L946" s="63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63"/>
      <c r="K947" s="63"/>
      <c r="L947" s="63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63"/>
      <c r="K948" s="63"/>
      <c r="L948" s="63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63"/>
      <c r="K949" s="63"/>
      <c r="L949" s="63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63"/>
      <c r="K950" s="63"/>
      <c r="L950" s="63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63"/>
      <c r="K951" s="63"/>
      <c r="L951" s="63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63"/>
      <c r="K952" s="63"/>
      <c r="L952" s="63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63"/>
      <c r="K953" s="63"/>
      <c r="L953" s="63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63"/>
      <c r="K954" s="63"/>
      <c r="L954" s="63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63"/>
      <c r="K955" s="63"/>
      <c r="L955" s="63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63"/>
      <c r="K956" s="63"/>
      <c r="L956" s="63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63"/>
      <c r="K957" s="63"/>
      <c r="L957" s="63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63"/>
      <c r="K958" s="63"/>
      <c r="L958" s="63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63"/>
      <c r="K959" s="63"/>
      <c r="L959" s="63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63"/>
      <c r="K960" s="63"/>
      <c r="L960" s="63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63"/>
      <c r="K961" s="63"/>
      <c r="L961" s="63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63"/>
      <c r="K962" s="63"/>
      <c r="L962" s="63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63"/>
      <c r="K963" s="63"/>
      <c r="L963" s="63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63"/>
      <c r="K964" s="63"/>
      <c r="L964" s="63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63"/>
      <c r="K965" s="63"/>
      <c r="L965" s="63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63"/>
      <c r="K966" s="63"/>
      <c r="L966" s="63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63"/>
      <c r="K967" s="63"/>
      <c r="L967" s="63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63"/>
      <c r="K968" s="63"/>
      <c r="L968" s="63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63"/>
      <c r="K969" s="63"/>
      <c r="L969" s="63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63"/>
      <c r="K970" s="63"/>
      <c r="L970" s="63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63"/>
      <c r="K971" s="63"/>
      <c r="L971" s="63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63"/>
      <c r="K972" s="63"/>
      <c r="L972" s="63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63"/>
      <c r="K973" s="63"/>
      <c r="L973" s="63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63"/>
      <c r="K974" s="63"/>
      <c r="L974" s="63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63"/>
      <c r="K975" s="63"/>
      <c r="L975" s="63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63"/>
      <c r="K976" s="63"/>
      <c r="L976" s="63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63"/>
      <c r="K977" s="63"/>
      <c r="L977" s="63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63"/>
      <c r="K978" s="63"/>
      <c r="L978" s="63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63"/>
      <c r="K979" s="63"/>
      <c r="L979" s="63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63"/>
      <c r="K980" s="63"/>
      <c r="L980" s="63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63"/>
      <c r="K981" s="63"/>
      <c r="L981" s="63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63"/>
      <c r="K982" s="63"/>
      <c r="L982" s="63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63"/>
      <c r="K983" s="63"/>
      <c r="L983" s="63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63"/>
      <c r="K984" s="63"/>
      <c r="L984" s="63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63"/>
      <c r="K985" s="63"/>
      <c r="L985" s="63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63"/>
      <c r="K986" s="63"/>
      <c r="L986" s="63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63"/>
      <c r="K987" s="63"/>
      <c r="L987" s="63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63"/>
      <c r="K988" s="63"/>
      <c r="L988" s="63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63"/>
      <c r="K989" s="63"/>
      <c r="L989" s="63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63"/>
      <c r="K990" s="63"/>
      <c r="L990" s="63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63"/>
      <c r="K991" s="63"/>
      <c r="L991" s="63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63"/>
      <c r="K992" s="63"/>
      <c r="L992" s="63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63"/>
      <c r="K993" s="63"/>
      <c r="L993" s="63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63"/>
      <c r="K994" s="63"/>
      <c r="L994" s="63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63"/>
      <c r="K995" s="63"/>
      <c r="L995" s="63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63"/>
      <c r="K996" s="63"/>
      <c r="L996" s="63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63"/>
      <c r="K997" s="63"/>
      <c r="L997" s="63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63"/>
      <c r="K998" s="63"/>
      <c r="L998" s="63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63"/>
      <c r="K999" s="63"/>
      <c r="L999" s="63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63"/>
      <c r="K1000" s="63"/>
      <c r="L1000" s="63"/>
      <c r="M1000" s="3"/>
      <c r="N1000" s="3"/>
      <c r="O1000" s="3"/>
      <c r="Q1000" s="4"/>
      <c r="R1000" s="5"/>
      <c r="S1000" s="5"/>
    </row>
  </sheetData>
  <sheetProtection password="CC27" sheet="1" objects="1" scenarios="1"/>
  <mergeCells count="6">
    <mergeCell ref="D32:K32"/>
    <mergeCell ref="B1:S1"/>
    <mergeCell ref="M2:O2"/>
    <mergeCell ref="Q2:S2"/>
    <mergeCell ref="J3:L3"/>
    <mergeCell ref="D30:K30"/>
  </mergeCells>
  <pageMargins left="0.511811024" right="0.511811024" top="0.78740157499999996" bottom="0.7874015749999999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0"/>
  <sheetViews>
    <sheetView workbookViewId="0">
      <selection activeCell="F23" sqref="F23"/>
    </sheetView>
  </sheetViews>
  <sheetFormatPr defaultColWidth="14.42578125" defaultRowHeight="15" customHeight="1"/>
  <cols>
    <col min="1" max="1" width="2.7109375" customWidth="1"/>
    <col min="2" max="2" width="7.42578125" customWidth="1"/>
    <col min="3" max="3" width="22.7109375" hidden="1" customWidth="1"/>
    <col min="4" max="4" width="38.85546875" customWidth="1"/>
    <col min="5" max="5" width="38.85546875" hidden="1" customWidth="1"/>
    <col min="6" max="6" width="20.7109375" customWidth="1"/>
    <col min="7" max="7" width="38.85546875" customWidth="1"/>
    <col min="8" max="8" width="38.85546875" hidden="1" customWidth="1"/>
    <col min="9" max="9" width="38.85546875" customWidth="1"/>
    <col min="10" max="10" width="25.5703125" customWidth="1"/>
    <col min="11" max="13" width="9.140625" customWidth="1"/>
    <col min="14" max="16" width="14.140625" customWidth="1"/>
    <col min="17" max="17" width="13.5703125" customWidth="1"/>
    <col min="18" max="18" width="16.28515625" customWidth="1"/>
    <col min="19" max="19" width="14.85546875" customWidth="1"/>
    <col min="20" max="20" width="18" customWidth="1"/>
    <col min="21" max="38" width="8.7109375" customWidth="1"/>
  </cols>
  <sheetData>
    <row r="1" spans="1:38" ht="24.75" customHeight="1">
      <c r="C1" s="1"/>
      <c r="J1" s="2"/>
      <c r="K1" s="63"/>
      <c r="L1" s="63"/>
      <c r="M1" s="63"/>
      <c r="N1" s="3"/>
      <c r="O1" s="3"/>
      <c r="P1" s="3"/>
      <c r="R1" s="4"/>
      <c r="S1" s="5"/>
      <c r="T1" s="5"/>
    </row>
    <row r="2" spans="1:38" ht="24.75" customHeight="1">
      <c r="A2" s="64"/>
      <c r="B2" s="312" t="s">
        <v>580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32.25" customHeight="1">
      <c r="A3" s="6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26"/>
      <c r="N3" s="314" t="s">
        <v>1</v>
      </c>
      <c r="O3" s="308"/>
      <c r="P3" s="309"/>
      <c r="Q3" s="65" t="s">
        <v>34</v>
      </c>
      <c r="R3" s="315" t="s">
        <v>35</v>
      </c>
      <c r="S3" s="308"/>
      <c r="T3" s="309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38.25" customHeight="1">
      <c r="B4" s="227" t="s">
        <v>36</v>
      </c>
      <c r="C4" s="171" t="s">
        <v>37</v>
      </c>
      <c r="D4" s="66" t="s">
        <v>38</v>
      </c>
      <c r="E4" s="142" t="s">
        <v>39</v>
      </c>
      <c r="F4" s="66" t="s">
        <v>39</v>
      </c>
      <c r="G4" s="66" t="s">
        <v>40</v>
      </c>
      <c r="H4" s="138" t="s">
        <v>41</v>
      </c>
      <c r="I4" s="66" t="s">
        <v>42</v>
      </c>
      <c r="J4" s="66" t="s">
        <v>43</v>
      </c>
      <c r="K4" s="320" t="s">
        <v>44</v>
      </c>
      <c r="L4" s="308"/>
      <c r="M4" s="309"/>
      <c r="N4" s="140" t="s">
        <v>5</v>
      </c>
      <c r="O4" s="141" t="s">
        <v>6</v>
      </c>
      <c r="P4" s="142" t="s">
        <v>7</v>
      </c>
      <c r="Q4" s="142" t="s">
        <v>5</v>
      </c>
      <c r="R4" s="143" t="s">
        <v>9</v>
      </c>
      <c r="S4" s="144" t="s">
        <v>10</v>
      </c>
      <c r="T4" s="145" t="s">
        <v>46</v>
      </c>
    </row>
    <row r="5" spans="1:38" ht="19.5" customHeight="1">
      <c r="A5" s="21"/>
      <c r="B5" s="75">
        <v>1</v>
      </c>
      <c r="C5" s="195" t="s">
        <v>581</v>
      </c>
      <c r="D5" s="100" t="s">
        <v>582</v>
      </c>
      <c r="E5" s="228" t="s">
        <v>583</v>
      </c>
      <c r="F5" s="89" t="s">
        <v>993</v>
      </c>
      <c r="G5" s="95" t="s">
        <v>584</v>
      </c>
      <c r="H5" s="100" t="s">
        <v>585</v>
      </c>
      <c r="I5" s="82" t="str">
        <f t="shared" ref="I5:I23" si="0">UPPER(H5)</f>
        <v>PARTICIPAR DO GRAND ROUND</v>
      </c>
      <c r="J5" s="93" t="s">
        <v>330</v>
      </c>
      <c r="K5" s="103">
        <v>43709</v>
      </c>
      <c r="L5" s="95">
        <v>11</v>
      </c>
      <c r="M5" s="95">
        <v>11</v>
      </c>
      <c r="N5" s="279"/>
      <c r="O5" s="279"/>
      <c r="P5" s="274"/>
      <c r="Q5" s="280"/>
      <c r="R5" s="281">
        <v>401.83</v>
      </c>
      <c r="S5" s="282">
        <v>0</v>
      </c>
      <c r="T5" s="278">
        <f t="shared" ref="T5:T23" si="1">N5+O5+P5+Q5+R5+S5</f>
        <v>401.83</v>
      </c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ht="15" customHeight="1">
      <c r="A6" s="21"/>
      <c r="B6" s="86">
        <v>2</v>
      </c>
      <c r="C6" s="199" t="s">
        <v>586</v>
      </c>
      <c r="D6" s="95" t="s">
        <v>147</v>
      </c>
      <c r="E6" s="175" t="s">
        <v>148</v>
      </c>
      <c r="F6" s="175" t="s">
        <v>902</v>
      </c>
      <c r="G6" s="95" t="s">
        <v>587</v>
      </c>
      <c r="H6" s="93" t="s">
        <v>588</v>
      </c>
      <c r="I6" s="93" t="str">
        <f t="shared" si="0"/>
        <v>REUNIÃO DO CONSELHO DA ADMINISTRAÇÃO</v>
      </c>
      <c r="J6" s="93" t="s">
        <v>179</v>
      </c>
      <c r="K6" s="103">
        <v>43678</v>
      </c>
      <c r="L6" s="95">
        <v>26</v>
      </c>
      <c r="M6" s="95">
        <v>26</v>
      </c>
      <c r="N6" s="279"/>
      <c r="O6" s="279"/>
      <c r="P6" s="279"/>
      <c r="Q6" s="280">
        <v>0</v>
      </c>
      <c r="R6" s="281">
        <f>385.1+0</f>
        <v>385.1</v>
      </c>
      <c r="S6" s="282">
        <v>0</v>
      </c>
      <c r="T6" s="283">
        <f t="shared" si="1"/>
        <v>385.1</v>
      </c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 ht="14.25" customHeight="1">
      <c r="A7" s="21"/>
      <c r="B7" s="86">
        <v>3</v>
      </c>
      <c r="C7" s="195" t="s">
        <v>589</v>
      </c>
      <c r="D7" s="95" t="s">
        <v>445</v>
      </c>
      <c r="E7" s="89" t="s">
        <v>446</v>
      </c>
      <c r="F7" s="89" t="s">
        <v>969</v>
      </c>
      <c r="G7" s="95" t="s">
        <v>587</v>
      </c>
      <c r="H7" s="93" t="s">
        <v>588</v>
      </c>
      <c r="I7" s="93" t="str">
        <f t="shared" si="0"/>
        <v>REUNIÃO DO CONSELHO DA ADMINISTRAÇÃO</v>
      </c>
      <c r="J7" s="93" t="s">
        <v>52</v>
      </c>
      <c r="K7" s="103">
        <v>43678</v>
      </c>
      <c r="L7" s="95">
        <v>25</v>
      </c>
      <c r="M7" s="95">
        <v>27</v>
      </c>
      <c r="N7" s="279"/>
      <c r="O7" s="279"/>
      <c r="P7" s="279"/>
      <c r="Q7" s="280">
        <v>0</v>
      </c>
      <c r="R7" s="281">
        <f>759.98+869.98</f>
        <v>1629.96</v>
      </c>
      <c r="S7" s="282">
        <v>0</v>
      </c>
      <c r="T7" s="283">
        <f t="shared" si="1"/>
        <v>1629.96</v>
      </c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1:38" ht="12.75" customHeight="1">
      <c r="A8" s="21"/>
      <c r="B8" s="86">
        <v>4</v>
      </c>
      <c r="C8" s="199" t="s">
        <v>590</v>
      </c>
      <c r="D8" s="95" t="s">
        <v>48</v>
      </c>
      <c r="E8" s="89" t="s">
        <v>49</v>
      </c>
      <c r="F8" s="89" t="s">
        <v>903</v>
      </c>
      <c r="G8" s="95" t="s">
        <v>587</v>
      </c>
      <c r="H8" s="93" t="s">
        <v>588</v>
      </c>
      <c r="I8" s="93" t="str">
        <f t="shared" si="0"/>
        <v>REUNIÃO DO CONSELHO DA ADMINISTRAÇÃO</v>
      </c>
      <c r="J8" s="93" t="s">
        <v>52</v>
      </c>
      <c r="K8" s="103">
        <v>43678</v>
      </c>
      <c r="L8" s="95">
        <v>26</v>
      </c>
      <c r="M8" s="95">
        <v>26</v>
      </c>
      <c r="N8" s="279"/>
      <c r="O8" s="279"/>
      <c r="P8" s="279"/>
      <c r="Q8" s="280">
        <v>0</v>
      </c>
      <c r="R8" s="281">
        <v>1629.55</v>
      </c>
      <c r="S8" s="282">
        <v>0</v>
      </c>
      <c r="T8" s="283">
        <f t="shared" si="1"/>
        <v>1629.55</v>
      </c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</row>
    <row r="9" spans="1:38" ht="24.75" customHeight="1">
      <c r="A9" s="21"/>
      <c r="B9" s="86">
        <v>5</v>
      </c>
      <c r="C9" s="199" t="s">
        <v>591</v>
      </c>
      <c r="D9" s="95" t="s">
        <v>249</v>
      </c>
      <c r="E9" s="89" t="s">
        <v>250</v>
      </c>
      <c r="F9" s="89" t="s">
        <v>921</v>
      </c>
      <c r="G9" s="92" t="s">
        <v>592</v>
      </c>
      <c r="H9" s="102" t="s">
        <v>593</v>
      </c>
      <c r="I9" s="93" t="str">
        <f t="shared" si="0"/>
        <v>PARTICIPAÇÃO NO 65º CURSO DE ADMINISTRAÇÃO ORÇAMENTÁRIA E FINANCEIRA</v>
      </c>
      <c r="J9" s="93" t="s">
        <v>190</v>
      </c>
      <c r="K9" s="103">
        <v>43678</v>
      </c>
      <c r="L9" s="95">
        <v>11</v>
      </c>
      <c r="M9" s="95">
        <v>16</v>
      </c>
      <c r="N9" s="279"/>
      <c r="O9" s="279">
        <v>297.11</v>
      </c>
      <c r="P9" s="279"/>
      <c r="Q9" s="280">
        <f>59+60+14+16+14+13+15+13+17+15+14+50+50</f>
        <v>350</v>
      </c>
      <c r="R9" s="281">
        <v>1700.37</v>
      </c>
      <c r="S9" s="282">
        <f>1564+199.1</f>
        <v>1763.1</v>
      </c>
      <c r="T9" s="283">
        <f t="shared" si="1"/>
        <v>4110.58</v>
      </c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</row>
    <row r="10" spans="1:38" ht="24.75" customHeight="1">
      <c r="A10" s="21"/>
      <c r="B10" s="86">
        <v>6</v>
      </c>
      <c r="C10" s="199" t="s">
        <v>594</v>
      </c>
      <c r="D10" s="102" t="s">
        <v>254</v>
      </c>
      <c r="E10" s="155" t="s">
        <v>255</v>
      </c>
      <c r="F10" s="155" t="s">
        <v>922</v>
      </c>
      <c r="G10" s="102" t="s">
        <v>256</v>
      </c>
      <c r="H10" s="99" t="s">
        <v>595</v>
      </c>
      <c r="I10" s="93" t="str">
        <f t="shared" si="0"/>
        <v>4ª CERTIFICAÇÃO DO INDICADOR DE GOVERNANÇA IG-SEST</v>
      </c>
      <c r="J10" s="93" t="s">
        <v>72</v>
      </c>
      <c r="K10" s="103">
        <v>43678</v>
      </c>
      <c r="L10" s="95">
        <v>8</v>
      </c>
      <c r="M10" s="95">
        <v>9</v>
      </c>
      <c r="N10" s="279">
        <v>64</v>
      </c>
      <c r="O10" s="279">
        <v>67.25</v>
      </c>
      <c r="P10" s="279"/>
      <c r="Q10" s="280">
        <v>0</v>
      </c>
      <c r="R10" s="281">
        <f>1093.98+1198.39</f>
        <v>2292.37</v>
      </c>
      <c r="S10" s="282">
        <f>347.6+182.6</f>
        <v>530.20000000000005</v>
      </c>
      <c r="T10" s="283">
        <f t="shared" si="1"/>
        <v>2953.8199999999997</v>
      </c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ht="26.25" customHeight="1">
      <c r="A11" s="21"/>
      <c r="B11" s="86">
        <v>7</v>
      </c>
      <c r="C11" s="199" t="s">
        <v>596</v>
      </c>
      <c r="D11" s="95" t="s">
        <v>293</v>
      </c>
      <c r="E11" s="89" t="s">
        <v>294</v>
      </c>
      <c r="F11" s="89" t="s">
        <v>932</v>
      </c>
      <c r="G11" s="95" t="s">
        <v>597</v>
      </c>
      <c r="H11" s="102" t="s">
        <v>598</v>
      </c>
      <c r="I11" s="93" t="str">
        <f t="shared" si="0"/>
        <v>PARTICIPAÇÃO NO 8º SEBROP - SEMINÁRIO BRASILEIRO DE OBRAS PÚBLICAS </v>
      </c>
      <c r="J11" s="93" t="s">
        <v>72</v>
      </c>
      <c r="K11" s="103">
        <v>43678</v>
      </c>
      <c r="L11" s="95">
        <v>27</v>
      </c>
      <c r="M11" s="95">
        <v>30</v>
      </c>
      <c r="N11" s="279">
        <v>172.5</v>
      </c>
      <c r="O11" s="279">
        <v>52.2</v>
      </c>
      <c r="P11" s="279"/>
      <c r="Q11" s="280">
        <v>0</v>
      </c>
      <c r="R11" s="281">
        <v>1456.55</v>
      </c>
      <c r="S11" s="282">
        <f>862.5+195.9</f>
        <v>1058.4000000000001</v>
      </c>
      <c r="T11" s="283">
        <f t="shared" si="1"/>
        <v>2739.65</v>
      </c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</row>
    <row r="12" spans="1:38" ht="24.75" customHeight="1">
      <c r="A12" s="21"/>
      <c r="B12" s="86">
        <v>8</v>
      </c>
      <c r="C12" s="195" t="s">
        <v>599</v>
      </c>
      <c r="D12" s="95" t="s">
        <v>199</v>
      </c>
      <c r="E12" s="89" t="s">
        <v>200</v>
      </c>
      <c r="F12" s="89" t="s">
        <v>910</v>
      </c>
      <c r="G12" s="92" t="s">
        <v>233</v>
      </c>
      <c r="H12" s="102" t="s">
        <v>600</v>
      </c>
      <c r="I12" s="93" t="str">
        <f t="shared" si="0"/>
        <v>MINISTRAR TREINAMENTO AGHUSE - MÓDULO SESSÕES TERAPÊUTICAS - QUIMIOTERAPIA</v>
      </c>
      <c r="J12" s="95" t="s">
        <v>93</v>
      </c>
      <c r="K12" s="103">
        <v>43678</v>
      </c>
      <c r="L12" s="95">
        <v>19</v>
      </c>
      <c r="M12" s="95">
        <v>21</v>
      </c>
      <c r="N12" s="279">
        <v>174.86</v>
      </c>
      <c r="O12" s="279">
        <v>164.79</v>
      </c>
      <c r="P12" s="279"/>
      <c r="Q12" s="280">
        <v>0</v>
      </c>
      <c r="R12" s="281">
        <f>467.08+505.08</f>
        <v>972.16</v>
      </c>
      <c r="S12" s="282">
        <f>512.4+208</f>
        <v>720.4</v>
      </c>
      <c r="T12" s="283">
        <f t="shared" si="1"/>
        <v>2032.21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</row>
    <row r="13" spans="1:38" ht="24" customHeight="1">
      <c r="A13" s="21"/>
      <c r="B13" s="86">
        <v>9</v>
      </c>
      <c r="C13" s="195" t="s">
        <v>601</v>
      </c>
      <c r="D13" s="95" t="s">
        <v>228</v>
      </c>
      <c r="E13" s="89" t="s">
        <v>229</v>
      </c>
      <c r="F13" s="89" t="s">
        <v>917</v>
      </c>
      <c r="G13" s="92" t="s">
        <v>602</v>
      </c>
      <c r="H13" s="102" t="s">
        <v>603</v>
      </c>
      <c r="I13" s="93" t="str">
        <f t="shared" si="0"/>
        <v>MNISTRAR TREINAMENTO MÓDULO SESSÕES TERAPÊUTICAS - AGHUSE</v>
      </c>
      <c r="J13" s="95" t="s">
        <v>93</v>
      </c>
      <c r="K13" s="103">
        <v>43678</v>
      </c>
      <c r="L13" s="95">
        <v>21</v>
      </c>
      <c r="M13" s="95">
        <v>22</v>
      </c>
      <c r="N13" s="279">
        <v>0</v>
      </c>
      <c r="O13" s="279">
        <v>0</v>
      </c>
      <c r="P13" s="279"/>
      <c r="Q13" s="280">
        <v>0</v>
      </c>
      <c r="R13" s="281">
        <f>661.98+605.08</f>
        <v>1267.06</v>
      </c>
      <c r="S13" s="282">
        <f>256+6</f>
        <v>262</v>
      </c>
      <c r="T13" s="283">
        <f t="shared" si="1"/>
        <v>1529.06</v>
      </c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38" ht="48.75" customHeight="1">
      <c r="A14" s="21"/>
      <c r="B14" s="86">
        <v>10</v>
      </c>
      <c r="C14" s="195" t="s">
        <v>604</v>
      </c>
      <c r="D14" s="95" t="s">
        <v>110</v>
      </c>
      <c r="E14" s="155" t="s">
        <v>111</v>
      </c>
      <c r="F14" s="155" t="s">
        <v>940</v>
      </c>
      <c r="G14" s="102" t="s">
        <v>560</v>
      </c>
      <c r="H14" s="102" t="s">
        <v>605</v>
      </c>
      <c r="I14" s="93" t="str">
        <f t="shared" si="0"/>
        <v>REPRESENTAR A INSTITUIÇÃO COMO MEMBRO DA COMISSÃO DE AVALIAÇÃO QUADRIENAL 2017/2020 - MEDICINA III, NO SEMINÁRIO DE MEIO TERMO DA CAPES.</v>
      </c>
      <c r="J14" s="95" t="s">
        <v>72</v>
      </c>
      <c r="K14" s="103">
        <v>43678</v>
      </c>
      <c r="L14" s="95">
        <v>19</v>
      </c>
      <c r="M14" s="95">
        <v>20</v>
      </c>
      <c r="N14" s="279">
        <v>126.05</v>
      </c>
      <c r="O14" s="279">
        <v>59.57</v>
      </c>
      <c r="P14" s="279"/>
      <c r="Q14" s="280">
        <v>0</v>
      </c>
      <c r="R14" s="281">
        <v>2273.37</v>
      </c>
      <c r="S14" s="282">
        <f>326.6+5.5</f>
        <v>332.1</v>
      </c>
      <c r="T14" s="283">
        <f t="shared" si="1"/>
        <v>2791.0899999999997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38" ht="33.75" customHeight="1">
      <c r="A15" s="21"/>
      <c r="B15" s="86">
        <v>11</v>
      </c>
      <c r="C15" s="195" t="s">
        <v>606</v>
      </c>
      <c r="D15" s="177" t="s">
        <v>192</v>
      </c>
      <c r="E15" s="89" t="s">
        <v>152</v>
      </c>
      <c r="F15" s="89" t="s">
        <v>908</v>
      </c>
      <c r="G15" s="102" t="s">
        <v>193</v>
      </c>
      <c r="H15" s="102" t="s">
        <v>607</v>
      </c>
      <c r="I15" s="93" t="str">
        <f t="shared" si="0"/>
        <v>REUNIÃO COM O ADVOGADO DO CONSÓRCIO TRATENGE ENGEFORM, DR. ARTHUR GUEDES, RESPONSÁVEL PELA OBRA DOS ANEXOS I E II</v>
      </c>
      <c r="J15" s="95" t="s">
        <v>72</v>
      </c>
      <c r="K15" s="103">
        <v>43678</v>
      </c>
      <c r="L15" s="95">
        <v>15</v>
      </c>
      <c r="M15" s="95">
        <v>15</v>
      </c>
      <c r="N15" s="279">
        <v>0</v>
      </c>
      <c r="O15" s="279">
        <v>0</v>
      </c>
      <c r="P15" s="279"/>
      <c r="Q15" s="280">
        <f>47+29.89+28+63</f>
        <v>167.89</v>
      </c>
      <c r="R15" s="281">
        <v>2911.37</v>
      </c>
      <c r="S15" s="282">
        <v>0</v>
      </c>
      <c r="T15" s="283">
        <f t="shared" si="1"/>
        <v>3079.2599999999998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</row>
    <row r="16" spans="1:38" ht="24" customHeight="1">
      <c r="A16" s="21"/>
      <c r="B16" s="86">
        <v>12</v>
      </c>
      <c r="C16" s="195" t="s">
        <v>608</v>
      </c>
      <c r="D16" s="177" t="s">
        <v>609</v>
      </c>
      <c r="E16" s="89" t="s">
        <v>610</v>
      </c>
      <c r="F16" s="89" t="s">
        <v>994</v>
      </c>
      <c r="G16" s="102" t="s">
        <v>611</v>
      </c>
      <c r="H16" s="102" t="s">
        <v>612</v>
      </c>
      <c r="I16" s="93" t="str">
        <f t="shared" si="0"/>
        <v>MINISTRAR TREINAMENTO AGHUSE DO MÓDULO REGISTRO DE COLABORADORES</v>
      </c>
      <c r="J16" s="95" t="s">
        <v>131</v>
      </c>
      <c r="K16" s="103">
        <v>43709</v>
      </c>
      <c r="L16" s="95">
        <v>1</v>
      </c>
      <c r="M16" s="95">
        <v>3</v>
      </c>
      <c r="N16" s="279">
        <v>93.9</v>
      </c>
      <c r="O16" s="279">
        <v>114</v>
      </c>
      <c r="P16" s="279"/>
      <c r="Q16" s="280">
        <v>0</v>
      </c>
      <c r="R16" s="281">
        <f>850.98+1601.85</f>
        <v>2452.83</v>
      </c>
      <c r="S16" s="282">
        <f>530.4+141.5</f>
        <v>671.9</v>
      </c>
      <c r="T16" s="283">
        <f t="shared" si="1"/>
        <v>3332.63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38" ht="33.75" customHeight="1">
      <c r="A17" s="21"/>
      <c r="B17" s="86">
        <v>13</v>
      </c>
      <c r="C17" s="195" t="s">
        <v>613</v>
      </c>
      <c r="D17" s="177" t="s">
        <v>614</v>
      </c>
      <c r="E17" s="229"/>
      <c r="F17" s="89" t="s">
        <v>995</v>
      </c>
      <c r="G17" s="102" t="s">
        <v>615</v>
      </c>
      <c r="H17" s="102" t="s">
        <v>616</v>
      </c>
      <c r="I17" s="93" t="str">
        <f t="shared" si="0"/>
        <v>MINISTRAR TREINAMENTO DOS MÓDULOS:  REGISTRO DE COLABORADOR, PACIENTES E INTERNAÇÃO ADMINISTRATIVO PARA O HMAM.</v>
      </c>
      <c r="J17" s="95" t="s">
        <v>131</v>
      </c>
      <c r="K17" s="103">
        <v>43709</v>
      </c>
      <c r="L17" s="95">
        <v>2</v>
      </c>
      <c r="M17" s="95">
        <v>6</v>
      </c>
      <c r="N17" s="279">
        <v>223.06</v>
      </c>
      <c r="O17" s="279">
        <v>233.01</v>
      </c>
      <c r="P17" s="279"/>
      <c r="Q17" s="280">
        <v>0</v>
      </c>
      <c r="R17" s="281">
        <f>939.98+1105.85</f>
        <v>2045.83</v>
      </c>
      <c r="S17" s="282">
        <f>1060.8+103.5</f>
        <v>1164.3</v>
      </c>
      <c r="T17" s="283">
        <f t="shared" si="1"/>
        <v>3666.2</v>
      </c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</row>
    <row r="18" spans="1:38" ht="60" customHeight="1">
      <c r="A18" s="21"/>
      <c r="B18" s="86">
        <v>14</v>
      </c>
      <c r="C18" s="195" t="s">
        <v>617</v>
      </c>
      <c r="D18" s="95" t="s">
        <v>127</v>
      </c>
      <c r="E18" s="155" t="s">
        <v>128</v>
      </c>
      <c r="F18" s="155" t="s">
        <v>937</v>
      </c>
      <c r="G18" s="102" t="s">
        <v>618</v>
      </c>
      <c r="H18" s="102" t="s">
        <v>619</v>
      </c>
      <c r="I18" s="93" t="str">
        <f t="shared" si="0"/>
        <v>REPRESENTAR O HCPA NO "FÓRUM EBSERH - RNP - EVOLUÇÃO E DESAFIOS DA SAÚDE DIGITAL",  APRESENTANDO O PAINEL “TRADIÇÃO E INOVAÇÃO NA INFORMATIZAÇÃO DE HOSPITAL DE GRANDE PORTE”.</v>
      </c>
      <c r="J18" s="93" t="s">
        <v>72</v>
      </c>
      <c r="K18" s="103">
        <v>43678</v>
      </c>
      <c r="L18" s="95">
        <v>26</v>
      </c>
      <c r="M18" s="95">
        <v>27</v>
      </c>
      <c r="N18" s="279">
        <v>122.37</v>
      </c>
      <c r="O18" s="279">
        <v>97</v>
      </c>
      <c r="P18" s="279"/>
      <c r="Q18" s="280">
        <v>0</v>
      </c>
      <c r="R18" s="281">
        <v>2316.15</v>
      </c>
      <c r="S18" s="282">
        <f>350.75+118.8</f>
        <v>469.55</v>
      </c>
      <c r="T18" s="283">
        <f t="shared" si="1"/>
        <v>3005.07</v>
      </c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</row>
    <row r="19" spans="1:38" ht="26.25" customHeight="1">
      <c r="A19" s="21"/>
      <c r="B19" s="86">
        <v>15</v>
      </c>
      <c r="C19" s="195" t="s">
        <v>620</v>
      </c>
      <c r="D19" s="95" t="s">
        <v>192</v>
      </c>
      <c r="E19" s="229"/>
      <c r="F19" s="89" t="s">
        <v>908</v>
      </c>
      <c r="G19" s="151" t="s">
        <v>448</v>
      </c>
      <c r="H19" s="102" t="s">
        <v>621</v>
      </c>
      <c r="I19" s="93" t="str">
        <f t="shared" si="0"/>
        <v>REUNIÃO DE SERVIÇO COM ADVOGADOS E REPRESENTANTES  DA EMPRESA CONCREMAT.</v>
      </c>
      <c r="J19" s="93" t="s">
        <v>622</v>
      </c>
      <c r="K19" s="103">
        <v>43678</v>
      </c>
      <c r="L19" s="95">
        <v>28</v>
      </c>
      <c r="M19" s="95">
        <v>28</v>
      </c>
      <c r="N19" s="279">
        <v>0</v>
      </c>
      <c r="O19" s="279">
        <v>24.87</v>
      </c>
      <c r="P19" s="279"/>
      <c r="Q19" s="280">
        <v>40</v>
      </c>
      <c r="R19" s="281">
        <f t="shared" ref="R19:R21" si="2">857.98+952.85</f>
        <v>1810.83</v>
      </c>
      <c r="S19" s="282">
        <v>0</v>
      </c>
      <c r="T19" s="283">
        <f t="shared" si="1"/>
        <v>1875.6999999999998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</row>
    <row r="20" spans="1:38" ht="23.25" customHeight="1">
      <c r="A20" s="21"/>
      <c r="B20" s="86">
        <v>16</v>
      </c>
      <c r="C20" s="195" t="s">
        <v>623</v>
      </c>
      <c r="D20" s="95" t="s">
        <v>196</v>
      </c>
      <c r="E20" s="98"/>
      <c r="F20" s="155" t="s">
        <v>909</v>
      </c>
      <c r="G20" s="102" t="s">
        <v>624</v>
      </c>
      <c r="H20" s="102" t="s">
        <v>621</v>
      </c>
      <c r="I20" s="93" t="str">
        <f t="shared" si="0"/>
        <v>REUNIÃO DE SERVIÇO COM ADVOGADOS E REPRESENTANTES  DA EMPRESA CONCREMAT.</v>
      </c>
      <c r="J20" s="93" t="s">
        <v>622</v>
      </c>
      <c r="K20" s="103">
        <v>43678</v>
      </c>
      <c r="L20" s="95">
        <v>28</v>
      </c>
      <c r="M20" s="95">
        <v>28</v>
      </c>
      <c r="N20" s="279">
        <v>84.84</v>
      </c>
      <c r="O20" s="279"/>
      <c r="P20" s="279"/>
      <c r="Q20" s="280">
        <f>28.9+11.7+25.3</f>
        <v>65.899999999999991</v>
      </c>
      <c r="R20" s="281">
        <f t="shared" si="2"/>
        <v>1810.83</v>
      </c>
      <c r="S20" s="282">
        <v>0</v>
      </c>
      <c r="T20" s="283">
        <f t="shared" si="1"/>
        <v>1961.57</v>
      </c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1:38" ht="23.25" customHeight="1">
      <c r="A21" s="21"/>
      <c r="B21" s="86">
        <v>17</v>
      </c>
      <c r="C21" s="195" t="s">
        <v>625</v>
      </c>
      <c r="D21" s="95" t="s">
        <v>626</v>
      </c>
      <c r="E21" s="98"/>
      <c r="F21" s="155" t="s">
        <v>996</v>
      </c>
      <c r="G21" s="102" t="s">
        <v>624</v>
      </c>
      <c r="H21" s="102" t="s">
        <v>621</v>
      </c>
      <c r="I21" s="93" t="str">
        <f t="shared" si="0"/>
        <v>REUNIÃO DE SERVIÇO COM ADVOGADOS E REPRESENTANTES  DA EMPRESA CONCREMAT.</v>
      </c>
      <c r="J21" s="93" t="s">
        <v>622</v>
      </c>
      <c r="K21" s="103">
        <v>43679</v>
      </c>
      <c r="L21" s="95">
        <v>28</v>
      </c>
      <c r="M21" s="95">
        <v>28</v>
      </c>
      <c r="N21" s="279">
        <v>0</v>
      </c>
      <c r="O21" s="279">
        <v>0</v>
      </c>
      <c r="P21" s="279"/>
      <c r="Q21" s="280">
        <f>35.6+48</f>
        <v>83.6</v>
      </c>
      <c r="R21" s="281">
        <f t="shared" si="2"/>
        <v>1810.83</v>
      </c>
      <c r="S21" s="282">
        <v>0</v>
      </c>
      <c r="T21" s="283">
        <f t="shared" si="1"/>
        <v>1894.4299999999998</v>
      </c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</row>
    <row r="22" spans="1:38" ht="47.25" customHeight="1">
      <c r="A22" s="21"/>
      <c r="B22" s="86">
        <v>18</v>
      </c>
      <c r="C22" s="195" t="s">
        <v>627</v>
      </c>
      <c r="D22" s="95" t="s">
        <v>628</v>
      </c>
      <c r="E22" s="98"/>
      <c r="F22" s="155" t="s">
        <v>997</v>
      </c>
      <c r="G22" s="102" t="s">
        <v>629</v>
      </c>
      <c r="H22" s="158" t="s">
        <v>630</v>
      </c>
      <c r="I22" s="93" t="str">
        <f t="shared" si="0"/>
        <v>UTILIZAR PRÊMIO GANHO EM SEMANA CIENTÍFICA ( PASSAGENS ), PARA PARTICIPAR NO 15º CONGRESSO BRASILEIRO DE PNEUMOLOGIA PEDIÁTRICA EM MACEIÓ.</v>
      </c>
      <c r="J22" s="93" t="s">
        <v>631</v>
      </c>
      <c r="K22" s="103">
        <v>43770</v>
      </c>
      <c r="L22" s="95">
        <v>10</v>
      </c>
      <c r="M22" s="95">
        <v>17</v>
      </c>
      <c r="N22" s="279"/>
      <c r="O22" s="279"/>
      <c r="P22" s="279"/>
      <c r="Q22" s="280">
        <v>0</v>
      </c>
      <c r="R22" s="281">
        <v>1417.93</v>
      </c>
      <c r="S22" s="282">
        <v>0</v>
      </c>
      <c r="T22" s="283">
        <f t="shared" si="1"/>
        <v>1417.93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</row>
    <row r="23" spans="1:38" ht="12.75" customHeight="1">
      <c r="A23" s="21"/>
      <c r="B23" s="86"/>
      <c r="C23" s="210"/>
      <c r="D23" s="108"/>
      <c r="E23" s="108"/>
      <c r="F23" s="108"/>
      <c r="G23" s="108"/>
      <c r="H23" s="230"/>
      <c r="I23" s="212" t="str">
        <f t="shared" si="0"/>
        <v/>
      </c>
      <c r="J23" s="113"/>
      <c r="K23" s="114"/>
      <c r="L23" s="115"/>
      <c r="M23" s="115"/>
      <c r="N23" s="116"/>
      <c r="O23" s="116"/>
      <c r="P23" s="116"/>
      <c r="Q23" s="231"/>
      <c r="R23" s="117"/>
      <c r="S23" s="118"/>
      <c r="T23" s="119">
        <f t="shared" si="1"/>
        <v>0</v>
      </c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1:38" ht="24.75" customHeight="1">
      <c r="A24" s="41"/>
      <c r="B24" s="41"/>
      <c r="C24" s="41"/>
      <c r="D24" s="41"/>
      <c r="E24" s="41"/>
      <c r="F24" s="41"/>
      <c r="G24" s="41"/>
      <c r="H24" s="41"/>
      <c r="I24" s="41"/>
      <c r="J24" s="125"/>
      <c r="K24" s="41"/>
      <c r="L24" s="34"/>
      <c r="M24" s="41"/>
      <c r="N24" s="170">
        <f t="shared" ref="N24:S24" si="3">SUM(N5:N23)</f>
        <v>1061.58</v>
      </c>
      <c r="O24" s="170">
        <f t="shared" si="3"/>
        <v>1109.8</v>
      </c>
      <c r="P24" s="170">
        <f t="shared" si="3"/>
        <v>0</v>
      </c>
      <c r="Q24" s="192">
        <f t="shared" si="3"/>
        <v>707.39</v>
      </c>
      <c r="R24" s="232">
        <f t="shared" si="3"/>
        <v>30584.920000000006</v>
      </c>
      <c r="S24" s="233">
        <f t="shared" si="3"/>
        <v>6971.9500000000007</v>
      </c>
      <c r="T24" s="234">
        <f>SUM(T5:T23)+Q25</f>
        <v>40442.713900000002</v>
      </c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ht="19.5" customHeight="1">
      <c r="A25" s="47"/>
      <c r="B25" s="47"/>
      <c r="C25" s="47"/>
      <c r="D25" s="310"/>
      <c r="E25" s="306"/>
      <c r="F25" s="306"/>
      <c r="G25" s="306"/>
      <c r="H25" s="306"/>
      <c r="I25" s="306"/>
      <c r="J25" s="306"/>
      <c r="K25" s="306"/>
      <c r="L25" s="306"/>
      <c r="M25" s="47"/>
      <c r="N25" s="48"/>
      <c r="O25" s="48"/>
      <c r="P25" s="130" t="s">
        <v>94</v>
      </c>
      <c r="Q25" s="22">
        <f>Q24*1%</f>
        <v>7.0739000000000001</v>
      </c>
      <c r="R25" s="47"/>
      <c r="S25" s="47"/>
      <c r="T25" s="52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</row>
    <row r="26" spans="1:38" ht="24.75" customHeight="1">
      <c r="A26" s="47"/>
      <c r="B26" s="122" t="s">
        <v>94</v>
      </c>
      <c r="C26" s="41"/>
      <c r="D26" s="123" t="s">
        <v>95</v>
      </c>
      <c r="E26" s="124"/>
      <c r="F26" s="124"/>
      <c r="G26" s="187"/>
      <c r="H26" s="187"/>
      <c r="I26" s="187"/>
      <c r="J26" s="50"/>
      <c r="K26" s="47"/>
      <c r="L26" s="47"/>
      <c r="M26" s="47"/>
      <c r="N26" s="48"/>
      <c r="O26" s="48"/>
      <c r="P26" s="48"/>
      <c r="Q26" s="131">
        <f>Q24+Q25</f>
        <v>714.46389999999997</v>
      </c>
      <c r="R26" s="51"/>
      <c r="S26" s="52"/>
      <c r="T26" s="132" t="s">
        <v>96</v>
      </c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</row>
    <row r="27" spans="1:38" ht="24.75" customHeight="1">
      <c r="A27" s="47"/>
      <c r="B27" s="47"/>
      <c r="C27" s="47"/>
      <c r="D27" s="311"/>
      <c r="E27" s="306"/>
      <c r="F27" s="306"/>
      <c r="G27" s="306"/>
      <c r="H27" s="306"/>
      <c r="I27" s="306"/>
      <c r="J27" s="306"/>
      <c r="K27" s="306"/>
      <c r="L27" s="306"/>
      <c r="M27" s="47"/>
      <c r="N27" s="48"/>
      <c r="O27" s="48"/>
      <c r="P27" s="48"/>
      <c r="Q27" s="22"/>
      <c r="R27" s="4" t="s">
        <v>26</v>
      </c>
      <c r="S27" s="133">
        <f>N24+O24+P24+Q26+R24+S24</f>
        <v>40442.713900000002</v>
      </c>
      <c r="T27" s="56">
        <f>T24-S27</f>
        <v>0</v>
      </c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</row>
    <row r="28" spans="1:38" ht="24.75" customHeight="1">
      <c r="C28" s="1"/>
      <c r="D28" s="1"/>
      <c r="E28" s="1"/>
      <c r="F28" s="1"/>
      <c r="G28" s="1"/>
      <c r="H28" s="1"/>
      <c r="I28" s="1"/>
      <c r="J28" s="2"/>
      <c r="K28" s="63"/>
      <c r="L28" s="63"/>
      <c r="M28" s="63"/>
      <c r="N28" s="3"/>
      <c r="O28" s="3"/>
      <c r="P28" s="130" t="s">
        <v>94</v>
      </c>
      <c r="Q28" s="22" t="s">
        <v>97</v>
      </c>
      <c r="R28" s="4"/>
      <c r="S28" s="5"/>
      <c r="T28" s="5"/>
    </row>
    <row r="29" spans="1:38" ht="24.75" customHeight="1">
      <c r="C29" s="1"/>
      <c r="D29" s="1"/>
      <c r="E29" s="1"/>
      <c r="F29" s="1"/>
      <c r="G29" s="1"/>
      <c r="H29" s="1"/>
      <c r="I29" s="1"/>
      <c r="J29" s="2"/>
      <c r="K29" s="63"/>
      <c r="L29" s="63"/>
      <c r="M29" s="63"/>
      <c r="N29" s="3"/>
      <c r="O29" s="3"/>
      <c r="P29" s="3"/>
      <c r="Q29" s="22"/>
      <c r="R29" s="4"/>
      <c r="S29" s="5"/>
      <c r="T29" s="5"/>
    </row>
    <row r="30" spans="1:38" ht="24.75" customHeight="1">
      <c r="C30" s="1"/>
      <c r="D30" s="1"/>
      <c r="E30" s="1"/>
      <c r="F30" s="1"/>
      <c r="G30" s="1"/>
      <c r="H30" s="1"/>
      <c r="I30" s="1"/>
      <c r="J30" s="2"/>
      <c r="K30" s="63"/>
      <c r="L30" s="63"/>
      <c r="M30" s="63"/>
      <c r="N30" s="3"/>
      <c r="O30" s="3"/>
      <c r="P30" s="3"/>
      <c r="Q30" s="22"/>
      <c r="R30" s="4"/>
      <c r="S30" s="5"/>
      <c r="T30" s="5"/>
    </row>
    <row r="31" spans="1:38" ht="24.75" customHeight="1">
      <c r="C31" s="1"/>
      <c r="D31" s="1"/>
      <c r="E31" s="1"/>
      <c r="F31" s="1"/>
      <c r="G31" s="1"/>
      <c r="H31" s="1"/>
      <c r="I31" s="1"/>
      <c r="J31" s="2"/>
      <c r="K31" s="63"/>
      <c r="L31" s="63"/>
      <c r="M31" s="63"/>
      <c r="N31" s="3"/>
      <c r="O31" s="3"/>
      <c r="P31" s="3"/>
      <c r="Q31" s="22"/>
      <c r="R31" s="4"/>
      <c r="S31" s="5"/>
      <c r="T31" s="5"/>
    </row>
    <row r="32" spans="1:38" ht="24.75" customHeight="1">
      <c r="C32" s="1"/>
      <c r="D32" s="1"/>
      <c r="E32" s="1"/>
      <c r="F32" s="1"/>
      <c r="G32" s="1"/>
      <c r="H32" s="1"/>
      <c r="I32" s="1"/>
      <c r="J32" s="2"/>
      <c r="K32" s="63"/>
      <c r="L32" s="63"/>
      <c r="M32" s="63"/>
      <c r="N32" s="3"/>
      <c r="O32" s="3"/>
      <c r="P32" s="3"/>
      <c r="Q32" s="22"/>
      <c r="R32" s="4"/>
      <c r="S32" s="5"/>
      <c r="T32" s="5"/>
    </row>
    <row r="33" spans="3:20" ht="24.75" customHeight="1">
      <c r="C33" s="1"/>
      <c r="D33" s="1"/>
      <c r="E33" s="1"/>
      <c r="F33" s="1"/>
      <c r="G33" s="1"/>
      <c r="H33" s="1"/>
      <c r="I33" s="1"/>
      <c r="J33" s="2"/>
      <c r="K33" s="63"/>
      <c r="L33" s="63"/>
      <c r="M33" s="63"/>
      <c r="N33" s="3"/>
      <c r="O33" s="3"/>
      <c r="P33" s="3"/>
      <c r="Q33" s="22"/>
      <c r="R33" s="4"/>
      <c r="S33" s="5"/>
      <c r="T33" s="5"/>
    </row>
    <row r="34" spans="3:20" ht="24.75" customHeight="1">
      <c r="C34" s="1"/>
      <c r="D34" s="1"/>
      <c r="E34" s="1"/>
      <c r="F34" s="1"/>
      <c r="G34" s="1"/>
      <c r="H34" s="1"/>
      <c r="I34" s="1"/>
      <c r="J34" s="2"/>
      <c r="K34" s="63"/>
      <c r="L34" s="63"/>
      <c r="M34" s="63"/>
      <c r="N34" s="3"/>
      <c r="O34" s="3"/>
      <c r="P34" s="3"/>
      <c r="Q34" s="22"/>
      <c r="R34" s="4"/>
      <c r="S34" s="5"/>
      <c r="T34" s="5"/>
    </row>
    <row r="35" spans="3:20" ht="24.75" customHeight="1">
      <c r="C35" s="1"/>
      <c r="J35" s="2"/>
      <c r="K35" s="63"/>
      <c r="L35" s="63"/>
      <c r="M35" s="63"/>
      <c r="N35" s="3"/>
      <c r="O35" s="3"/>
      <c r="P35" s="3"/>
      <c r="Q35" s="22"/>
      <c r="R35" s="4"/>
      <c r="S35" s="5"/>
      <c r="T35" s="5"/>
    </row>
    <row r="36" spans="3:20" ht="24.75" customHeight="1">
      <c r="C36" s="1"/>
      <c r="D36" s="1"/>
      <c r="E36" s="1"/>
      <c r="F36" s="1"/>
      <c r="G36" s="1"/>
      <c r="H36" s="1"/>
      <c r="I36" s="1"/>
      <c r="J36" s="2"/>
      <c r="K36" s="63"/>
      <c r="L36" s="63"/>
      <c r="M36" s="63"/>
      <c r="N36" s="3"/>
      <c r="O36" s="3"/>
      <c r="P36" s="3"/>
      <c r="Q36" s="22"/>
      <c r="R36" s="4"/>
      <c r="S36" s="5"/>
      <c r="T36" s="5"/>
    </row>
    <row r="37" spans="3:20" ht="24.75" customHeight="1">
      <c r="C37" s="1"/>
      <c r="D37" s="1"/>
      <c r="E37" s="1"/>
      <c r="F37" s="1"/>
      <c r="G37" s="1"/>
      <c r="H37" s="1"/>
      <c r="I37" s="1"/>
      <c r="J37" s="2"/>
      <c r="K37" s="63"/>
      <c r="L37" s="63"/>
      <c r="M37" s="63"/>
      <c r="N37" s="3"/>
      <c r="O37" s="3"/>
      <c r="P37" s="3"/>
      <c r="Q37" s="134"/>
      <c r="R37" s="4"/>
      <c r="S37" s="5"/>
      <c r="T37" s="5"/>
    </row>
    <row r="38" spans="3:20" ht="24.75" customHeight="1">
      <c r="C38" s="1"/>
      <c r="D38" s="1"/>
      <c r="E38" s="1"/>
      <c r="F38" s="1"/>
      <c r="G38" s="1"/>
      <c r="H38" s="1"/>
      <c r="I38" s="1"/>
      <c r="J38" s="2"/>
      <c r="K38" s="63"/>
      <c r="L38" s="63"/>
      <c r="M38" s="63"/>
      <c r="N38" s="3"/>
      <c r="O38" s="3"/>
      <c r="P38" s="3"/>
      <c r="Q38" s="47"/>
    </row>
    <row r="39" spans="3:20" ht="24.75" customHeight="1">
      <c r="C39" s="1"/>
      <c r="D39" s="1"/>
      <c r="E39" s="1"/>
      <c r="F39" s="1"/>
      <c r="G39" s="1"/>
      <c r="H39" s="1"/>
      <c r="I39" s="1"/>
      <c r="J39" s="2"/>
      <c r="K39" s="63"/>
      <c r="L39" s="63"/>
      <c r="M39" s="63"/>
      <c r="N39" s="3"/>
      <c r="O39" s="3"/>
      <c r="P39" s="3"/>
      <c r="Q39" s="47"/>
    </row>
    <row r="40" spans="3:20" ht="24.75" customHeight="1">
      <c r="C40" s="1"/>
      <c r="D40" s="1"/>
      <c r="E40" s="1"/>
      <c r="F40" s="1"/>
      <c r="G40" s="1"/>
      <c r="H40" s="1"/>
      <c r="I40" s="1"/>
      <c r="J40" s="2"/>
      <c r="K40" s="63"/>
      <c r="L40" s="63"/>
      <c r="M40" s="63"/>
      <c r="N40" s="3"/>
      <c r="O40" s="3"/>
      <c r="P40" s="3"/>
      <c r="Q40" s="47"/>
    </row>
    <row r="41" spans="3:20" ht="24.75" customHeight="1">
      <c r="C41" s="1"/>
      <c r="D41" s="1"/>
      <c r="E41" s="1"/>
      <c r="F41" s="1"/>
      <c r="G41" s="1"/>
      <c r="H41" s="1"/>
      <c r="I41" s="1"/>
      <c r="J41" s="2"/>
      <c r="K41" s="63"/>
      <c r="L41" s="63"/>
      <c r="M41" s="63"/>
      <c r="N41" s="3"/>
      <c r="O41" s="3"/>
      <c r="P41" s="3"/>
    </row>
    <row r="42" spans="3:20" ht="24.75" customHeight="1">
      <c r="C42" s="1"/>
      <c r="D42" s="1"/>
      <c r="E42" s="1"/>
      <c r="F42" s="1"/>
      <c r="G42" s="1"/>
      <c r="H42" s="1"/>
      <c r="I42" s="1"/>
      <c r="J42" s="2"/>
      <c r="K42" s="63"/>
      <c r="L42" s="63"/>
      <c r="M42" s="63"/>
      <c r="N42" s="3"/>
      <c r="O42" s="3"/>
      <c r="P42" s="3"/>
    </row>
    <row r="43" spans="3:20" ht="24.75" customHeight="1">
      <c r="C43" s="1"/>
      <c r="D43" s="1"/>
      <c r="E43" s="1"/>
      <c r="F43" s="1"/>
      <c r="G43" s="1"/>
      <c r="H43" s="1"/>
      <c r="I43" s="1"/>
      <c r="J43" s="2"/>
      <c r="K43" s="63"/>
      <c r="L43" s="63"/>
      <c r="M43" s="63"/>
      <c r="N43" s="3"/>
      <c r="O43" s="3"/>
      <c r="P43" s="3"/>
    </row>
    <row r="44" spans="3:20" ht="24.75" customHeight="1">
      <c r="C44" s="1"/>
      <c r="D44" s="1"/>
      <c r="E44" s="1"/>
      <c r="F44" s="1"/>
      <c r="G44" s="1"/>
      <c r="H44" s="1"/>
      <c r="I44" s="1"/>
      <c r="J44" s="2"/>
      <c r="K44" s="63"/>
      <c r="L44" s="63"/>
      <c r="M44" s="63"/>
      <c r="N44" s="3"/>
      <c r="O44" s="3"/>
      <c r="P44" s="3"/>
    </row>
    <row r="45" spans="3:20" ht="24.75" customHeight="1">
      <c r="C45" s="1"/>
      <c r="D45" s="1"/>
      <c r="E45" s="1"/>
      <c r="F45" s="1"/>
      <c r="G45" s="1"/>
      <c r="H45" s="1"/>
      <c r="I45" s="1"/>
      <c r="J45" s="2"/>
      <c r="K45" s="63"/>
      <c r="L45" s="63"/>
      <c r="M45" s="63"/>
      <c r="N45" s="3"/>
      <c r="O45" s="3"/>
      <c r="P45" s="3"/>
    </row>
    <row r="46" spans="3:20" ht="24.75" customHeight="1">
      <c r="C46" s="1"/>
      <c r="D46" s="1"/>
      <c r="E46" s="1"/>
      <c r="F46" s="1"/>
      <c r="G46" s="1"/>
      <c r="H46" s="1"/>
      <c r="I46" s="1"/>
      <c r="J46" s="2"/>
      <c r="K46" s="63"/>
      <c r="L46" s="63"/>
      <c r="M46" s="63"/>
      <c r="N46" s="3"/>
      <c r="O46" s="3"/>
      <c r="P46" s="3"/>
    </row>
    <row r="47" spans="3:20" ht="24.75" customHeight="1">
      <c r="C47" s="1"/>
      <c r="D47" s="1"/>
      <c r="E47" s="1"/>
      <c r="F47" s="1"/>
      <c r="G47" s="1"/>
      <c r="H47" s="1"/>
      <c r="I47" s="1"/>
      <c r="J47" s="2"/>
      <c r="K47" s="63"/>
      <c r="L47" s="63"/>
      <c r="M47" s="63"/>
      <c r="N47" s="3"/>
      <c r="O47" s="3"/>
      <c r="P47" s="3"/>
    </row>
    <row r="48" spans="3:20" ht="24.75" customHeight="1">
      <c r="C48" s="1"/>
      <c r="D48" s="1"/>
      <c r="E48" s="1"/>
      <c r="F48" s="1"/>
      <c r="G48" s="1"/>
      <c r="H48" s="1"/>
      <c r="I48" s="1"/>
      <c r="J48" s="2"/>
      <c r="K48" s="63"/>
      <c r="L48" s="63"/>
      <c r="M48" s="63"/>
      <c r="N48" s="3"/>
      <c r="O48" s="3"/>
      <c r="P48" s="3"/>
    </row>
    <row r="49" spans="3:16" ht="24.75" customHeight="1">
      <c r="C49" s="1"/>
      <c r="D49" s="1"/>
      <c r="E49" s="1"/>
      <c r="F49" s="1"/>
      <c r="G49" s="1"/>
      <c r="H49" s="1"/>
      <c r="I49" s="1"/>
      <c r="J49" s="2"/>
      <c r="K49" s="63"/>
      <c r="L49" s="63"/>
      <c r="M49" s="63"/>
      <c r="N49" s="3"/>
      <c r="O49" s="3"/>
      <c r="P49" s="3"/>
    </row>
    <row r="50" spans="3:16" ht="24.75" customHeight="1">
      <c r="C50" s="1"/>
      <c r="D50" s="1"/>
      <c r="E50" s="1"/>
      <c r="F50" s="1"/>
      <c r="G50" s="1"/>
      <c r="H50" s="1"/>
      <c r="I50" s="1"/>
      <c r="J50" s="2"/>
      <c r="K50" s="63"/>
      <c r="L50" s="63"/>
      <c r="M50" s="63"/>
      <c r="N50" s="3"/>
      <c r="O50" s="3"/>
      <c r="P50" s="3"/>
    </row>
    <row r="51" spans="3:16" ht="24.75" customHeight="1">
      <c r="C51" s="1"/>
      <c r="D51" s="1"/>
      <c r="E51" s="1"/>
      <c r="F51" s="1"/>
      <c r="G51" s="1"/>
      <c r="H51" s="1"/>
      <c r="I51" s="1"/>
      <c r="J51" s="2"/>
      <c r="K51" s="63"/>
      <c r="L51" s="63"/>
      <c r="M51" s="63"/>
      <c r="N51" s="3"/>
      <c r="O51" s="3"/>
      <c r="P51" s="3"/>
    </row>
    <row r="52" spans="3:16" ht="24.75" customHeight="1">
      <c r="C52" s="1"/>
      <c r="D52" s="1"/>
      <c r="E52" s="1"/>
      <c r="F52" s="1"/>
      <c r="G52" s="1"/>
      <c r="H52" s="1"/>
      <c r="I52" s="1"/>
      <c r="J52" s="2"/>
      <c r="K52" s="63"/>
      <c r="L52" s="63"/>
      <c r="M52" s="63"/>
      <c r="N52" s="3"/>
      <c r="O52" s="3"/>
      <c r="P52" s="3"/>
    </row>
    <row r="53" spans="3:16" ht="24.75" customHeight="1">
      <c r="C53" s="1"/>
      <c r="D53" s="1"/>
      <c r="E53" s="1"/>
      <c r="F53" s="1"/>
      <c r="G53" s="1"/>
      <c r="H53" s="1"/>
      <c r="I53" s="1"/>
      <c r="J53" s="2"/>
      <c r="K53" s="63"/>
      <c r="L53" s="63"/>
      <c r="M53" s="63"/>
      <c r="N53" s="3"/>
      <c r="O53" s="3"/>
      <c r="P53" s="3"/>
    </row>
    <row r="54" spans="3:16" ht="24.75" customHeight="1">
      <c r="C54" s="1"/>
      <c r="D54" s="1"/>
      <c r="E54" s="1"/>
      <c r="F54" s="1"/>
      <c r="G54" s="1"/>
      <c r="H54" s="1"/>
      <c r="I54" s="1"/>
      <c r="J54" s="2"/>
      <c r="K54" s="63"/>
      <c r="L54" s="63"/>
      <c r="M54" s="63"/>
    </row>
    <row r="55" spans="3:16" ht="24.75" customHeight="1">
      <c r="C55" s="1"/>
      <c r="D55" s="1"/>
      <c r="E55" s="1"/>
      <c r="F55" s="1"/>
      <c r="G55" s="1"/>
      <c r="H55" s="1"/>
      <c r="I55" s="1"/>
      <c r="J55" s="2"/>
      <c r="K55" s="63"/>
      <c r="L55" s="63"/>
      <c r="M55" s="63"/>
    </row>
    <row r="56" spans="3:16" ht="24.75" customHeight="1">
      <c r="C56" s="1"/>
      <c r="D56" s="1"/>
      <c r="E56" s="1"/>
      <c r="F56" s="1"/>
      <c r="G56" s="1"/>
      <c r="H56" s="1"/>
      <c r="I56" s="1"/>
      <c r="J56" s="2"/>
      <c r="K56" s="63"/>
      <c r="L56" s="63"/>
      <c r="M56" s="63"/>
    </row>
    <row r="57" spans="3:16" ht="24.75" customHeight="1">
      <c r="C57" s="1"/>
      <c r="D57" s="1"/>
      <c r="E57" s="1"/>
      <c r="F57" s="1"/>
      <c r="G57" s="1"/>
      <c r="H57" s="1"/>
      <c r="I57" s="1"/>
      <c r="J57" s="2"/>
      <c r="K57" s="63"/>
      <c r="L57" s="63"/>
      <c r="M57" s="63"/>
    </row>
    <row r="58" spans="3:16" ht="24.75" customHeight="1">
      <c r="C58" s="1"/>
      <c r="D58" s="1"/>
      <c r="E58" s="1"/>
      <c r="F58" s="1"/>
      <c r="G58" s="1"/>
      <c r="H58" s="1"/>
      <c r="I58" s="1"/>
      <c r="J58" s="2"/>
      <c r="K58" s="63"/>
      <c r="L58" s="63"/>
      <c r="M58" s="63"/>
    </row>
    <row r="59" spans="3:16" ht="24.75" customHeight="1">
      <c r="C59" s="1"/>
      <c r="D59" s="1"/>
      <c r="E59" s="1"/>
      <c r="F59" s="1"/>
      <c r="G59" s="1"/>
      <c r="H59" s="1"/>
      <c r="I59" s="1"/>
      <c r="J59" s="2"/>
      <c r="K59" s="63"/>
      <c r="L59" s="63"/>
      <c r="M59" s="63"/>
    </row>
    <row r="60" spans="3:16" ht="24.75" customHeight="1">
      <c r="C60" s="1"/>
      <c r="D60" s="1"/>
      <c r="E60" s="1"/>
      <c r="F60" s="1"/>
      <c r="G60" s="1"/>
      <c r="H60" s="1"/>
      <c r="I60" s="1"/>
      <c r="J60" s="2"/>
      <c r="K60" s="63"/>
      <c r="L60" s="63"/>
      <c r="M60" s="63"/>
    </row>
    <row r="61" spans="3:16" ht="24.75" customHeight="1">
      <c r="C61" s="1"/>
      <c r="D61" s="1"/>
      <c r="E61" s="1"/>
      <c r="F61" s="1"/>
      <c r="G61" s="1"/>
      <c r="H61" s="1"/>
      <c r="I61" s="1"/>
      <c r="J61" s="2"/>
      <c r="K61" s="63"/>
      <c r="L61" s="63"/>
      <c r="M61" s="63"/>
    </row>
    <row r="62" spans="3:16" ht="24.75" customHeight="1">
      <c r="C62" s="1"/>
      <c r="D62" s="1"/>
      <c r="E62" s="1"/>
      <c r="F62" s="1"/>
      <c r="G62" s="1"/>
      <c r="H62" s="1"/>
      <c r="I62" s="1"/>
      <c r="J62" s="2"/>
      <c r="K62" s="63"/>
      <c r="L62" s="63"/>
      <c r="M62" s="63"/>
    </row>
    <row r="63" spans="3:16" ht="24.75" customHeight="1">
      <c r="C63" s="1"/>
      <c r="D63" s="1"/>
      <c r="E63" s="1"/>
      <c r="F63" s="1"/>
      <c r="G63" s="1"/>
      <c r="H63" s="1"/>
      <c r="I63" s="1"/>
      <c r="J63" s="2"/>
      <c r="K63" s="63"/>
      <c r="L63" s="63"/>
      <c r="M63" s="63"/>
    </row>
    <row r="64" spans="3:16" ht="24.75" customHeight="1">
      <c r="C64" s="1"/>
      <c r="D64" s="1"/>
      <c r="E64" s="1"/>
      <c r="F64" s="1"/>
      <c r="G64" s="1"/>
      <c r="H64" s="1"/>
      <c r="I64" s="1"/>
      <c r="J64" s="2"/>
      <c r="K64" s="63"/>
      <c r="L64" s="63"/>
      <c r="M64" s="63"/>
    </row>
    <row r="65" spans="3:13" ht="24.75" customHeight="1">
      <c r="C65" s="1"/>
      <c r="D65" s="1"/>
      <c r="E65" s="1"/>
      <c r="F65" s="1"/>
      <c r="G65" s="1"/>
      <c r="H65" s="1"/>
      <c r="I65" s="1"/>
      <c r="J65" s="2"/>
      <c r="K65" s="63"/>
      <c r="L65" s="63"/>
      <c r="M65" s="63"/>
    </row>
    <row r="66" spans="3:13" ht="24.75" customHeight="1">
      <c r="C66" s="1"/>
      <c r="D66" s="1"/>
      <c r="E66" s="1"/>
      <c r="F66" s="1"/>
      <c r="G66" s="1"/>
      <c r="H66" s="1"/>
      <c r="I66" s="1"/>
      <c r="J66" s="2"/>
      <c r="K66" s="63"/>
      <c r="L66" s="63"/>
      <c r="M66" s="63"/>
    </row>
    <row r="67" spans="3:13" ht="24.75" customHeight="1">
      <c r="C67" s="1"/>
      <c r="D67" s="1"/>
      <c r="E67" s="1"/>
      <c r="F67" s="1"/>
      <c r="G67" s="1"/>
      <c r="H67" s="1"/>
      <c r="I67" s="1"/>
      <c r="J67" s="2"/>
      <c r="K67" s="63"/>
      <c r="L67" s="63"/>
      <c r="M67" s="63"/>
    </row>
    <row r="68" spans="3:13" ht="24.75" customHeight="1">
      <c r="C68" s="1"/>
      <c r="D68" s="1"/>
      <c r="E68" s="1"/>
      <c r="F68" s="1"/>
      <c r="G68" s="1"/>
      <c r="H68" s="1"/>
      <c r="I68" s="1"/>
      <c r="J68" s="2"/>
      <c r="K68" s="63"/>
      <c r="L68" s="63"/>
      <c r="M68" s="63"/>
    </row>
    <row r="69" spans="3:13" ht="24.75" customHeight="1">
      <c r="C69" s="1"/>
      <c r="D69" s="1"/>
      <c r="E69" s="1"/>
      <c r="F69" s="1"/>
      <c r="G69" s="1"/>
      <c r="H69" s="1"/>
      <c r="I69" s="1"/>
      <c r="J69" s="2"/>
      <c r="K69" s="63"/>
      <c r="L69" s="63"/>
      <c r="M69" s="63"/>
    </row>
    <row r="70" spans="3:13" ht="24.75" customHeight="1">
      <c r="C70" s="1"/>
      <c r="D70" s="1"/>
      <c r="E70" s="1"/>
      <c r="F70" s="1"/>
      <c r="G70" s="1"/>
      <c r="H70" s="1"/>
      <c r="I70" s="1"/>
      <c r="J70" s="2"/>
      <c r="K70" s="63"/>
      <c r="L70" s="63"/>
      <c r="M70" s="63"/>
    </row>
    <row r="71" spans="3:13" ht="24.75" customHeight="1">
      <c r="C71" s="1"/>
      <c r="D71" s="1"/>
      <c r="E71" s="1"/>
      <c r="F71" s="1"/>
      <c r="G71" s="1"/>
      <c r="H71" s="1"/>
      <c r="I71" s="1"/>
      <c r="J71" s="2"/>
      <c r="K71" s="63"/>
      <c r="L71" s="63"/>
      <c r="M71" s="63"/>
    </row>
    <row r="72" spans="3:13" ht="24.75" customHeight="1">
      <c r="C72" s="1"/>
      <c r="D72" s="1"/>
      <c r="E72" s="1"/>
      <c r="F72" s="1"/>
      <c r="G72" s="1"/>
      <c r="H72" s="1"/>
      <c r="I72" s="1"/>
      <c r="J72" s="2"/>
      <c r="K72" s="63"/>
      <c r="L72" s="63"/>
      <c r="M72" s="63"/>
    </row>
    <row r="73" spans="3:13" ht="24.75" customHeight="1">
      <c r="C73" s="1"/>
      <c r="D73" s="1"/>
      <c r="E73" s="1"/>
      <c r="F73" s="1"/>
      <c r="G73" s="1"/>
      <c r="H73" s="1"/>
      <c r="I73" s="1"/>
      <c r="J73" s="2"/>
      <c r="K73" s="63"/>
      <c r="L73" s="63"/>
      <c r="M73" s="63"/>
    </row>
    <row r="74" spans="3:13" ht="24.75" customHeight="1">
      <c r="C74" s="1"/>
      <c r="D74" s="1"/>
      <c r="E74" s="1"/>
      <c r="F74" s="1"/>
      <c r="G74" s="1"/>
      <c r="H74" s="1"/>
      <c r="I74" s="1"/>
      <c r="J74" s="2"/>
      <c r="K74" s="63"/>
      <c r="L74" s="63"/>
      <c r="M74" s="63"/>
    </row>
    <row r="75" spans="3:13" ht="24.75" customHeight="1">
      <c r="C75" s="1"/>
      <c r="D75" s="1"/>
      <c r="E75" s="1"/>
      <c r="F75" s="1"/>
      <c r="G75" s="1"/>
      <c r="H75" s="1"/>
      <c r="I75" s="1"/>
      <c r="J75" s="2"/>
      <c r="K75" s="63"/>
      <c r="L75" s="63"/>
      <c r="M75" s="63"/>
    </row>
    <row r="76" spans="3:13" ht="24.75" customHeight="1">
      <c r="C76" s="1"/>
      <c r="D76" s="1"/>
      <c r="E76" s="1"/>
      <c r="F76" s="1"/>
      <c r="G76" s="1"/>
      <c r="H76" s="1"/>
      <c r="I76" s="1"/>
      <c r="J76" s="2"/>
      <c r="K76" s="63"/>
      <c r="L76" s="63"/>
      <c r="M76" s="63"/>
    </row>
    <row r="77" spans="3:13" ht="24.75" customHeight="1">
      <c r="C77" s="1"/>
      <c r="D77" s="1"/>
      <c r="E77" s="1"/>
      <c r="F77" s="1"/>
      <c r="G77" s="1"/>
      <c r="H77" s="1"/>
      <c r="I77" s="1"/>
      <c r="J77" s="2"/>
      <c r="K77" s="63"/>
      <c r="L77" s="63"/>
      <c r="M77" s="63"/>
    </row>
    <row r="78" spans="3:13" ht="24.75" customHeight="1">
      <c r="C78" s="1"/>
      <c r="D78" s="1"/>
      <c r="E78" s="1"/>
      <c r="F78" s="1"/>
      <c r="G78" s="1"/>
      <c r="H78" s="1"/>
      <c r="I78" s="1"/>
      <c r="J78" s="2"/>
      <c r="K78" s="63"/>
      <c r="L78" s="63"/>
      <c r="M78" s="63"/>
    </row>
    <row r="79" spans="3:13" ht="24.75" customHeight="1">
      <c r="C79" s="1"/>
      <c r="D79" s="1"/>
      <c r="E79" s="1"/>
      <c r="F79" s="1"/>
      <c r="G79" s="1"/>
      <c r="H79" s="1"/>
      <c r="I79" s="1"/>
      <c r="J79" s="2"/>
      <c r="K79" s="63"/>
      <c r="L79" s="63"/>
      <c r="M79" s="63"/>
    </row>
    <row r="80" spans="3:13" ht="24.75" customHeight="1">
      <c r="C80" s="1"/>
      <c r="D80" s="1"/>
      <c r="E80" s="1"/>
      <c r="F80" s="1"/>
      <c r="G80" s="1"/>
      <c r="H80" s="1"/>
      <c r="I80" s="1"/>
      <c r="J80" s="2"/>
      <c r="K80" s="63"/>
      <c r="L80" s="63"/>
      <c r="M80" s="63"/>
    </row>
    <row r="81" spans="3:13" ht="24.75" customHeight="1">
      <c r="C81" s="1"/>
      <c r="D81" s="1"/>
      <c r="E81" s="1"/>
      <c r="F81" s="1"/>
      <c r="G81" s="1"/>
      <c r="H81" s="1"/>
      <c r="I81" s="1"/>
      <c r="J81" s="2"/>
      <c r="K81" s="63"/>
      <c r="L81" s="63"/>
      <c r="M81" s="63"/>
    </row>
    <row r="82" spans="3:13" ht="24.75" customHeight="1">
      <c r="C82" s="1"/>
      <c r="D82" s="1"/>
      <c r="E82" s="1"/>
      <c r="F82" s="1"/>
      <c r="G82" s="1"/>
      <c r="H82" s="1"/>
      <c r="I82" s="1"/>
      <c r="J82" s="2"/>
      <c r="K82" s="63"/>
      <c r="L82" s="63"/>
      <c r="M82" s="63"/>
    </row>
    <row r="83" spans="3:13" ht="24.75" customHeight="1">
      <c r="C83" s="1"/>
      <c r="D83" s="1"/>
      <c r="E83" s="1"/>
      <c r="F83" s="1"/>
      <c r="G83" s="1"/>
      <c r="H83" s="1"/>
      <c r="I83" s="1"/>
      <c r="J83" s="2"/>
      <c r="K83" s="63"/>
      <c r="L83" s="63"/>
      <c r="M83" s="63"/>
    </row>
    <row r="84" spans="3:13" ht="24.75" customHeight="1">
      <c r="C84" s="1"/>
      <c r="D84" s="1"/>
      <c r="E84" s="1"/>
      <c r="F84" s="1"/>
      <c r="G84" s="1"/>
      <c r="H84" s="1"/>
      <c r="I84" s="1"/>
      <c r="J84" s="2"/>
      <c r="K84" s="63"/>
      <c r="L84" s="63"/>
      <c r="M84" s="63"/>
    </row>
    <row r="85" spans="3:13" ht="24.75" customHeight="1">
      <c r="C85" s="1"/>
      <c r="D85" s="1"/>
      <c r="E85" s="1"/>
      <c r="F85" s="1"/>
      <c r="G85" s="1"/>
      <c r="H85" s="1"/>
      <c r="I85" s="1"/>
      <c r="J85" s="2"/>
      <c r="K85" s="63"/>
      <c r="L85" s="63"/>
      <c r="M85" s="63"/>
    </row>
    <row r="86" spans="3:13" ht="24.75" customHeight="1">
      <c r="C86" s="1"/>
      <c r="D86" s="1"/>
      <c r="E86" s="1"/>
      <c r="F86" s="1"/>
      <c r="G86" s="1"/>
      <c r="H86" s="1"/>
      <c r="I86" s="1"/>
      <c r="J86" s="2"/>
      <c r="K86" s="63"/>
      <c r="L86" s="63"/>
      <c r="M86" s="63"/>
    </row>
    <row r="87" spans="3:13" ht="24.75" customHeight="1">
      <c r="C87" s="1"/>
      <c r="D87" s="1"/>
      <c r="E87" s="1"/>
      <c r="F87" s="1"/>
      <c r="G87" s="1"/>
      <c r="H87" s="1"/>
      <c r="I87" s="1"/>
      <c r="J87" s="2"/>
      <c r="K87" s="63"/>
      <c r="L87" s="63"/>
      <c r="M87" s="63"/>
    </row>
    <row r="88" spans="3:13" ht="24.75" customHeight="1">
      <c r="C88" s="1"/>
      <c r="D88" s="1"/>
      <c r="E88" s="1"/>
      <c r="F88" s="1"/>
      <c r="G88" s="1"/>
      <c r="H88" s="1"/>
      <c r="I88" s="1"/>
      <c r="J88" s="2"/>
      <c r="K88" s="63"/>
      <c r="L88" s="63"/>
      <c r="M88" s="63"/>
    </row>
    <row r="89" spans="3:13" ht="24.75" customHeight="1">
      <c r="C89" s="1"/>
      <c r="D89" s="1"/>
      <c r="E89" s="1"/>
      <c r="F89" s="1"/>
      <c r="G89" s="1"/>
      <c r="H89" s="1"/>
      <c r="I89" s="1"/>
      <c r="J89" s="2"/>
      <c r="K89" s="63"/>
      <c r="L89" s="63"/>
      <c r="M89" s="63"/>
    </row>
    <row r="90" spans="3:13" ht="24.75" customHeight="1">
      <c r="C90" s="1"/>
      <c r="D90" s="1"/>
      <c r="E90" s="1"/>
      <c r="F90" s="1"/>
      <c r="G90" s="1"/>
      <c r="H90" s="1"/>
      <c r="I90" s="1"/>
      <c r="J90" s="2"/>
      <c r="K90" s="63"/>
      <c r="L90" s="63"/>
      <c r="M90" s="63"/>
    </row>
    <row r="91" spans="3:13" ht="24.75" customHeight="1">
      <c r="C91" s="1"/>
      <c r="D91" s="1"/>
      <c r="E91" s="1"/>
      <c r="F91" s="1"/>
      <c r="G91" s="1"/>
      <c r="H91" s="1"/>
      <c r="I91" s="1"/>
      <c r="J91" s="2"/>
      <c r="K91" s="63"/>
      <c r="L91" s="63"/>
      <c r="M91" s="63"/>
    </row>
    <row r="92" spans="3:13" ht="24.75" customHeight="1">
      <c r="C92" s="1"/>
      <c r="D92" s="1"/>
      <c r="E92" s="1"/>
      <c r="F92" s="1"/>
      <c r="G92" s="1"/>
      <c r="H92" s="1"/>
      <c r="I92" s="1"/>
      <c r="J92" s="2"/>
      <c r="K92" s="63"/>
      <c r="L92" s="63"/>
      <c r="M92" s="63"/>
    </row>
    <row r="93" spans="3:13" ht="24.75" customHeight="1">
      <c r="C93" s="1"/>
      <c r="D93" s="1"/>
      <c r="E93" s="1"/>
      <c r="F93" s="1"/>
      <c r="G93" s="1"/>
      <c r="H93" s="1"/>
      <c r="I93" s="1"/>
      <c r="J93" s="2"/>
      <c r="K93" s="63"/>
      <c r="L93" s="63"/>
      <c r="M93" s="63"/>
    </row>
    <row r="94" spans="3:13" ht="24.75" customHeight="1">
      <c r="C94" s="1"/>
      <c r="D94" s="1"/>
      <c r="E94" s="1"/>
      <c r="F94" s="1"/>
      <c r="G94" s="1"/>
      <c r="H94" s="1"/>
      <c r="I94" s="1"/>
      <c r="J94" s="2"/>
      <c r="K94" s="63"/>
      <c r="L94" s="63"/>
      <c r="M94" s="63"/>
    </row>
    <row r="95" spans="3:13" ht="24.75" customHeight="1">
      <c r="C95" s="1"/>
      <c r="D95" s="1"/>
      <c r="E95" s="1"/>
      <c r="F95" s="1"/>
      <c r="G95" s="1"/>
      <c r="H95" s="1"/>
      <c r="I95" s="1"/>
      <c r="J95" s="2"/>
      <c r="K95" s="63"/>
      <c r="L95" s="63"/>
      <c r="M95" s="63"/>
    </row>
    <row r="96" spans="3:13" ht="24.75" customHeight="1">
      <c r="C96" s="1"/>
      <c r="D96" s="1"/>
      <c r="E96" s="1"/>
      <c r="F96" s="1"/>
      <c r="G96" s="1"/>
      <c r="H96" s="1"/>
      <c r="I96" s="1"/>
      <c r="J96" s="2"/>
      <c r="K96" s="63"/>
      <c r="L96" s="63"/>
      <c r="M96" s="63"/>
    </row>
    <row r="97" spans="3:20" ht="24.75" customHeight="1">
      <c r="C97" s="1"/>
      <c r="D97" s="1"/>
      <c r="E97" s="1"/>
      <c r="F97" s="1"/>
      <c r="G97" s="1"/>
      <c r="H97" s="1"/>
      <c r="I97" s="1"/>
      <c r="J97" s="2"/>
      <c r="K97" s="63"/>
      <c r="L97" s="63"/>
      <c r="M97" s="63"/>
    </row>
    <row r="98" spans="3:20" ht="24.75" customHeight="1">
      <c r="C98" s="1"/>
      <c r="D98" s="1"/>
      <c r="E98" s="1"/>
      <c r="F98" s="1"/>
      <c r="G98" s="1"/>
      <c r="H98" s="1"/>
      <c r="I98" s="1"/>
      <c r="J98" s="2"/>
      <c r="K98" s="63"/>
      <c r="L98" s="63"/>
      <c r="M98" s="63"/>
    </row>
    <row r="99" spans="3:20" ht="24.75" customHeight="1">
      <c r="C99" s="1"/>
      <c r="D99" s="1"/>
      <c r="E99" s="1"/>
      <c r="F99" s="1"/>
      <c r="G99" s="1"/>
      <c r="H99" s="1"/>
      <c r="I99" s="1"/>
      <c r="J99" s="2"/>
      <c r="K99" s="63"/>
      <c r="L99" s="63"/>
      <c r="M99" s="63"/>
    </row>
    <row r="100" spans="3:20" ht="24.75" customHeight="1">
      <c r="C100" s="1"/>
      <c r="D100" s="1"/>
      <c r="E100" s="1"/>
      <c r="F100" s="1"/>
      <c r="G100" s="1"/>
      <c r="H100" s="1"/>
      <c r="I100" s="1"/>
      <c r="J100" s="2"/>
      <c r="K100" s="63"/>
      <c r="L100" s="63"/>
      <c r="M100" s="63"/>
    </row>
    <row r="101" spans="3:20" ht="24.75" customHeight="1">
      <c r="C101" s="1"/>
      <c r="D101" s="1"/>
      <c r="E101" s="1"/>
      <c r="F101" s="1"/>
      <c r="G101" s="1"/>
      <c r="H101" s="1"/>
      <c r="I101" s="1"/>
      <c r="J101" s="2"/>
      <c r="K101" s="63"/>
      <c r="L101" s="63"/>
      <c r="M101" s="63"/>
    </row>
    <row r="102" spans="3:20" ht="24.75" customHeight="1">
      <c r="C102" s="1"/>
      <c r="D102" s="1"/>
      <c r="E102" s="1"/>
      <c r="F102" s="1"/>
      <c r="G102" s="1"/>
      <c r="H102" s="1"/>
      <c r="I102" s="1"/>
      <c r="J102" s="2"/>
      <c r="K102" s="63"/>
      <c r="L102" s="63"/>
      <c r="M102" s="63"/>
    </row>
    <row r="103" spans="3:20" ht="24.75" customHeight="1">
      <c r="C103" s="1"/>
      <c r="D103" s="1"/>
      <c r="E103" s="1"/>
      <c r="F103" s="1"/>
      <c r="G103" s="1"/>
      <c r="H103" s="1"/>
      <c r="I103" s="1"/>
      <c r="J103" s="2"/>
      <c r="K103" s="63"/>
      <c r="L103" s="63"/>
      <c r="M103" s="63"/>
    </row>
    <row r="104" spans="3:20" ht="24.75" customHeight="1">
      <c r="C104" s="1"/>
      <c r="D104" s="1"/>
      <c r="E104" s="1"/>
      <c r="F104" s="1"/>
      <c r="G104" s="1"/>
      <c r="H104" s="1"/>
      <c r="I104" s="1"/>
      <c r="J104" s="2"/>
      <c r="K104" s="63"/>
      <c r="L104" s="63"/>
      <c r="M104" s="63"/>
    </row>
    <row r="105" spans="3:20" ht="24.75" customHeight="1">
      <c r="C105" s="1"/>
      <c r="D105" s="1"/>
      <c r="E105" s="1"/>
      <c r="F105" s="1"/>
      <c r="G105" s="1"/>
      <c r="H105" s="1"/>
      <c r="I105" s="1"/>
      <c r="J105" s="2"/>
      <c r="K105" s="63"/>
      <c r="L105" s="63"/>
      <c r="M105" s="63"/>
    </row>
    <row r="106" spans="3:20" ht="15.75" customHeight="1">
      <c r="C106" s="1"/>
      <c r="J106" s="2"/>
      <c r="K106" s="63"/>
      <c r="L106" s="63"/>
      <c r="M106" s="63"/>
      <c r="N106" s="3"/>
      <c r="O106" s="3"/>
      <c r="P106" s="3"/>
      <c r="R106" s="4"/>
      <c r="S106" s="5"/>
      <c r="T106" s="5"/>
    </row>
    <row r="107" spans="3:20" ht="15.75" customHeight="1">
      <c r="C107" s="1"/>
      <c r="J107" s="2"/>
      <c r="K107" s="63"/>
      <c r="L107" s="63"/>
      <c r="M107" s="63"/>
      <c r="N107" s="3"/>
      <c r="O107" s="3"/>
      <c r="P107" s="3"/>
      <c r="R107" s="4"/>
      <c r="S107" s="5"/>
      <c r="T107" s="5"/>
    </row>
    <row r="108" spans="3:20" ht="15.75" customHeight="1">
      <c r="C108" s="1"/>
      <c r="J108" s="2"/>
      <c r="K108" s="63"/>
      <c r="L108" s="63"/>
      <c r="M108" s="63"/>
      <c r="N108" s="3"/>
      <c r="O108" s="3"/>
      <c r="P108" s="3"/>
      <c r="R108" s="4"/>
      <c r="S108" s="5"/>
      <c r="T108" s="5"/>
    </row>
    <row r="109" spans="3:20" ht="15.75" customHeight="1">
      <c r="C109" s="1"/>
      <c r="J109" s="2"/>
      <c r="K109" s="63"/>
      <c r="L109" s="63"/>
      <c r="M109" s="63"/>
      <c r="N109" s="3"/>
      <c r="O109" s="3"/>
      <c r="P109" s="3"/>
      <c r="R109" s="4"/>
      <c r="S109" s="5"/>
      <c r="T109" s="5"/>
    </row>
    <row r="110" spans="3:20" ht="15.75" customHeight="1">
      <c r="C110" s="1"/>
      <c r="J110" s="2"/>
      <c r="K110" s="63"/>
      <c r="L110" s="63"/>
      <c r="M110" s="63"/>
      <c r="N110" s="3"/>
      <c r="O110" s="3"/>
      <c r="P110" s="3"/>
      <c r="R110" s="4"/>
      <c r="S110" s="5"/>
      <c r="T110" s="5"/>
    </row>
    <row r="111" spans="3:20" ht="15.75" customHeight="1">
      <c r="C111" s="1"/>
      <c r="J111" s="2"/>
      <c r="K111" s="63"/>
      <c r="L111" s="63"/>
      <c r="M111" s="63"/>
      <c r="N111" s="3"/>
      <c r="O111" s="3"/>
      <c r="P111" s="3"/>
      <c r="R111" s="4"/>
      <c r="S111" s="5"/>
      <c r="T111" s="5"/>
    </row>
    <row r="112" spans="3:20" ht="15.75" customHeight="1">
      <c r="C112" s="1"/>
      <c r="J112" s="2"/>
      <c r="K112" s="63"/>
      <c r="L112" s="63"/>
      <c r="M112" s="63"/>
      <c r="N112" s="3"/>
      <c r="O112" s="3"/>
      <c r="P112" s="3"/>
      <c r="R112" s="4"/>
      <c r="S112" s="5"/>
      <c r="T112" s="5"/>
    </row>
    <row r="113" spans="3:20" ht="15.75" customHeight="1">
      <c r="C113" s="1"/>
      <c r="J113" s="2"/>
      <c r="K113" s="63"/>
      <c r="L113" s="63"/>
      <c r="M113" s="63"/>
      <c r="N113" s="3"/>
      <c r="O113" s="3"/>
      <c r="P113" s="3"/>
      <c r="R113" s="4"/>
      <c r="S113" s="5"/>
      <c r="T113" s="5"/>
    </row>
    <row r="114" spans="3:20" ht="15.75" customHeight="1">
      <c r="C114" s="1"/>
      <c r="J114" s="2"/>
      <c r="K114" s="63"/>
      <c r="L114" s="63"/>
      <c r="M114" s="63"/>
      <c r="N114" s="3"/>
      <c r="O114" s="3"/>
      <c r="P114" s="3"/>
      <c r="R114" s="4"/>
      <c r="S114" s="5"/>
      <c r="T114" s="5"/>
    </row>
    <row r="115" spans="3:20" ht="15.75" customHeight="1">
      <c r="C115" s="1"/>
      <c r="J115" s="2"/>
      <c r="K115" s="63"/>
      <c r="L115" s="63"/>
      <c r="M115" s="63"/>
      <c r="N115" s="3"/>
      <c r="O115" s="3"/>
      <c r="P115" s="3"/>
      <c r="R115" s="4"/>
      <c r="S115" s="5"/>
      <c r="T115" s="5"/>
    </row>
    <row r="116" spans="3:20" ht="15.75" customHeight="1">
      <c r="C116" s="1"/>
      <c r="J116" s="2"/>
      <c r="K116" s="63"/>
      <c r="L116" s="63"/>
      <c r="M116" s="63"/>
      <c r="N116" s="3"/>
      <c r="O116" s="3"/>
      <c r="P116" s="3"/>
      <c r="R116" s="4"/>
      <c r="S116" s="5"/>
      <c r="T116" s="5"/>
    </row>
    <row r="117" spans="3:20" ht="15.75" customHeight="1">
      <c r="C117" s="1"/>
      <c r="J117" s="2"/>
      <c r="K117" s="63"/>
      <c r="L117" s="63"/>
      <c r="M117" s="63"/>
      <c r="N117" s="3"/>
      <c r="O117" s="3"/>
      <c r="P117" s="3"/>
      <c r="R117" s="4"/>
      <c r="S117" s="5"/>
      <c r="T117" s="5"/>
    </row>
    <row r="118" spans="3:20" ht="15.75" customHeight="1">
      <c r="C118" s="1"/>
      <c r="J118" s="2"/>
      <c r="K118" s="63"/>
      <c r="L118" s="63"/>
      <c r="M118" s="63"/>
      <c r="N118" s="3"/>
      <c r="O118" s="3"/>
      <c r="P118" s="3"/>
      <c r="R118" s="4"/>
      <c r="S118" s="5"/>
      <c r="T118" s="5"/>
    </row>
    <row r="119" spans="3:20" ht="15.75" customHeight="1">
      <c r="C119" s="1"/>
      <c r="J119" s="2"/>
      <c r="K119" s="63"/>
      <c r="L119" s="63"/>
      <c r="M119" s="63"/>
      <c r="N119" s="3"/>
      <c r="O119" s="3"/>
      <c r="P119" s="3"/>
      <c r="R119" s="4"/>
      <c r="S119" s="5"/>
      <c r="T119" s="5"/>
    </row>
    <row r="120" spans="3:20" ht="15.75" customHeight="1">
      <c r="C120" s="1"/>
      <c r="J120" s="2"/>
      <c r="K120" s="63"/>
      <c r="L120" s="63"/>
      <c r="M120" s="63"/>
      <c r="N120" s="3"/>
      <c r="O120" s="3"/>
      <c r="P120" s="3"/>
      <c r="R120" s="4"/>
      <c r="S120" s="5"/>
      <c r="T120" s="5"/>
    </row>
    <row r="121" spans="3:20" ht="15.75" customHeight="1">
      <c r="C121" s="1"/>
      <c r="J121" s="2"/>
      <c r="K121" s="63"/>
      <c r="L121" s="63"/>
      <c r="M121" s="63"/>
      <c r="N121" s="3"/>
      <c r="O121" s="3"/>
      <c r="P121" s="3"/>
      <c r="R121" s="4"/>
      <c r="S121" s="5"/>
      <c r="T121" s="5"/>
    </row>
    <row r="122" spans="3:20" ht="15.75" customHeight="1">
      <c r="C122" s="1"/>
      <c r="J122" s="2"/>
      <c r="K122" s="63"/>
      <c r="L122" s="63"/>
      <c r="M122" s="63"/>
      <c r="N122" s="3"/>
      <c r="O122" s="3"/>
      <c r="P122" s="3"/>
      <c r="R122" s="4"/>
      <c r="S122" s="5"/>
      <c r="T122" s="5"/>
    </row>
    <row r="123" spans="3:20" ht="15.75" customHeight="1">
      <c r="C123" s="1"/>
      <c r="J123" s="2"/>
      <c r="K123" s="63"/>
      <c r="L123" s="63"/>
      <c r="M123" s="63"/>
      <c r="N123" s="3"/>
      <c r="O123" s="3"/>
      <c r="P123" s="3"/>
      <c r="R123" s="4"/>
      <c r="S123" s="5"/>
      <c r="T123" s="5"/>
    </row>
    <row r="124" spans="3:20" ht="15.75" customHeight="1">
      <c r="C124" s="1"/>
      <c r="J124" s="2"/>
      <c r="K124" s="63"/>
      <c r="L124" s="63"/>
      <c r="M124" s="63"/>
      <c r="N124" s="3"/>
      <c r="O124" s="3"/>
      <c r="P124" s="3"/>
      <c r="R124" s="4"/>
      <c r="S124" s="5"/>
      <c r="T124" s="5"/>
    </row>
    <row r="125" spans="3:20" ht="15.75" customHeight="1">
      <c r="C125" s="1"/>
      <c r="J125" s="2"/>
      <c r="K125" s="63"/>
      <c r="L125" s="63"/>
      <c r="M125" s="63"/>
      <c r="N125" s="3"/>
      <c r="O125" s="3"/>
      <c r="P125" s="3"/>
      <c r="R125" s="4"/>
      <c r="S125" s="5"/>
      <c r="T125" s="5"/>
    </row>
    <row r="126" spans="3:20" ht="15.75" customHeight="1">
      <c r="C126" s="1"/>
      <c r="J126" s="2"/>
      <c r="K126" s="63"/>
      <c r="L126" s="63"/>
      <c r="M126" s="63"/>
      <c r="N126" s="3"/>
      <c r="O126" s="3"/>
      <c r="P126" s="3"/>
      <c r="R126" s="4"/>
      <c r="S126" s="5"/>
      <c r="T126" s="5"/>
    </row>
    <row r="127" spans="3:20" ht="15.75" customHeight="1">
      <c r="C127" s="1"/>
      <c r="J127" s="2"/>
      <c r="K127" s="63"/>
      <c r="L127" s="63"/>
      <c r="M127" s="63"/>
      <c r="N127" s="3"/>
      <c r="O127" s="3"/>
      <c r="P127" s="3"/>
      <c r="R127" s="4"/>
      <c r="S127" s="5"/>
      <c r="T127" s="5"/>
    </row>
    <row r="128" spans="3:20" ht="15.75" customHeight="1">
      <c r="C128" s="1"/>
      <c r="J128" s="2"/>
      <c r="K128" s="63"/>
      <c r="L128" s="63"/>
      <c r="M128" s="63"/>
      <c r="N128" s="3"/>
      <c r="O128" s="3"/>
      <c r="P128" s="3"/>
      <c r="R128" s="4"/>
      <c r="S128" s="5"/>
      <c r="T128" s="5"/>
    </row>
    <row r="129" spans="3:20" ht="15.75" customHeight="1">
      <c r="C129" s="1"/>
      <c r="J129" s="2"/>
      <c r="K129" s="63"/>
      <c r="L129" s="63"/>
      <c r="M129" s="63"/>
      <c r="N129" s="3"/>
      <c r="O129" s="3"/>
      <c r="P129" s="3"/>
      <c r="R129" s="4"/>
      <c r="S129" s="5"/>
      <c r="T129" s="5"/>
    </row>
    <row r="130" spans="3:20" ht="15.75" customHeight="1">
      <c r="C130" s="1"/>
      <c r="J130" s="2"/>
      <c r="K130" s="63"/>
      <c r="L130" s="63"/>
      <c r="M130" s="63"/>
      <c r="N130" s="3"/>
      <c r="O130" s="3"/>
      <c r="P130" s="3"/>
      <c r="R130" s="4"/>
      <c r="S130" s="5"/>
      <c r="T130" s="5"/>
    </row>
    <row r="131" spans="3:20" ht="15.75" customHeight="1">
      <c r="C131" s="1"/>
      <c r="J131" s="2"/>
      <c r="K131" s="63"/>
      <c r="L131" s="63"/>
      <c r="M131" s="63"/>
      <c r="N131" s="3"/>
      <c r="O131" s="3"/>
      <c r="P131" s="3"/>
      <c r="R131" s="4"/>
      <c r="S131" s="5"/>
      <c r="T131" s="5"/>
    </row>
    <row r="132" spans="3:20" ht="15.75" customHeight="1">
      <c r="C132" s="1"/>
      <c r="J132" s="2"/>
      <c r="K132" s="63"/>
      <c r="L132" s="63"/>
      <c r="M132" s="63"/>
      <c r="N132" s="3"/>
      <c r="O132" s="3"/>
      <c r="P132" s="3"/>
      <c r="R132" s="4"/>
      <c r="S132" s="5"/>
      <c r="T132" s="5"/>
    </row>
    <row r="133" spans="3:20" ht="15.75" customHeight="1">
      <c r="C133" s="1"/>
      <c r="J133" s="2"/>
      <c r="K133" s="63"/>
      <c r="L133" s="63"/>
      <c r="M133" s="63"/>
      <c r="N133" s="3"/>
      <c r="O133" s="3"/>
      <c r="P133" s="3"/>
      <c r="R133" s="4"/>
      <c r="S133" s="5"/>
      <c r="T133" s="5"/>
    </row>
    <row r="134" spans="3:20" ht="15.75" customHeight="1">
      <c r="C134" s="1"/>
      <c r="J134" s="2"/>
      <c r="K134" s="63"/>
      <c r="L134" s="63"/>
      <c r="M134" s="63"/>
      <c r="N134" s="3"/>
      <c r="O134" s="3"/>
      <c r="P134" s="3"/>
      <c r="R134" s="4"/>
      <c r="S134" s="5"/>
      <c r="T134" s="5"/>
    </row>
    <row r="135" spans="3:20" ht="15.75" customHeight="1">
      <c r="C135" s="1"/>
      <c r="J135" s="2"/>
      <c r="K135" s="63"/>
      <c r="L135" s="63"/>
      <c r="M135" s="63"/>
      <c r="N135" s="3"/>
      <c r="O135" s="3"/>
      <c r="P135" s="3"/>
      <c r="R135" s="4"/>
      <c r="S135" s="5"/>
      <c r="T135" s="5"/>
    </row>
    <row r="136" spans="3:20" ht="15.75" customHeight="1">
      <c r="C136" s="1"/>
      <c r="J136" s="2"/>
      <c r="K136" s="63"/>
      <c r="L136" s="63"/>
      <c r="M136" s="63"/>
      <c r="N136" s="3"/>
      <c r="O136" s="3"/>
      <c r="P136" s="3"/>
      <c r="R136" s="4"/>
      <c r="S136" s="5"/>
      <c r="T136" s="5"/>
    </row>
    <row r="137" spans="3:20" ht="15.75" customHeight="1">
      <c r="C137" s="1"/>
      <c r="J137" s="2"/>
      <c r="K137" s="63"/>
      <c r="L137" s="63"/>
      <c r="M137" s="63"/>
      <c r="N137" s="3"/>
      <c r="O137" s="3"/>
      <c r="P137" s="3"/>
      <c r="R137" s="4"/>
      <c r="S137" s="5"/>
      <c r="T137" s="5"/>
    </row>
    <row r="138" spans="3:20" ht="15.75" customHeight="1">
      <c r="C138" s="1"/>
      <c r="J138" s="2"/>
      <c r="K138" s="63"/>
      <c r="L138" s="63"/>
      <c r="M138" s="63"/>
      <c r="N138" s="3"/>
      <c r="O138" s="3"/>
      <c r="P138" s="3"/>
      <c r="R138" s="4"/>
      <c r="S138" s="5"/>
      <c r="T138" s="5"/>
    </row>
    <row r="139" spans="3:20" ht="15.75" customHeight="1">
      <c r="C139" s="1"/>
      <c r="J139" s="2"/>
      <c r="K139" s="63"/>
      <c r="L139" s="63"/>
      <c r="M139" s="63"/>
      <c r="N139" s="3"/>
      <c r="O139" s="3"/>
      <c r="P139" s="3"/>
      <c r="R139" s="4"/>
      <c r="S139" s="5"/>
      <c r="T139" s="5"/>
    </row>
    <row r="140" spans="3:20" ht="15.75" customHeight="1">
      <c r="C140" s="1"/>
      <c r="J140" s="2"/>
      <c r="K140" s="63"/>
      <c r="L140" s="63"/>
      <c r="M140" s="63"/>
      <c r="N140" s="3"/>
      <c r="O140" s="3"/>
      <c r="P140" s="3"/>
      <c r="R140" s="4"/>
      <c r="S140" s="5"/>
      <c r="T140" s="5"/>
    </row>
    <row r="141" spans="3:20" ht="15.75" customHeight="1">
      <c r="C141" s="1"/>
      <c r="J141" s="2"/>
      <c r="K141" s="63"/>
      <c r="L141" s="63"/>
      <c r="M141" s="63"/>
      <c r="N141" s="3"/>
      <c r="O141" s="3"/>
      <c r="P141" s="3"/>
      <c r="R141" s="4"/>
      <c r="S141" s="5"/>
      <c r="T141" s="5"/>
    </row>
    <row r="142" spans="3:20" ht="15.75" customHeight="1">
      <c r="C142" s="1"/>
      <c r="J142" s="2"/>
      <c r="K142" s="63"/>
      <c r="L142" s="63"/>
      <c r="M142" s="63"/>
      <c r="N142" s="3"/>
      <c r="O142" s="3"/>
      <c r="P142" s="3"/>
      <c r="R142" s="4"/>
      <c r="S142" s="5"/>
      <c r="T142" s="5"/>
    </row>
    <row r="143" spans="3:20" ht="15.75" customHeight="1">
      <c r="C143" s="1"/>
      <c r="J143" s="2"/>
      <c r="K143" s="63"/>
      <c r="L143" s="63"/>
      <c r="M143" s="63"/>
      <c r="N143" s="3"/>
      <c r="O143" s="3"/>
      <c r="P143" s="3"/>
      <c r="R143" s="4"/>
      <c r="S143" s="5"/>
      <c r="T143" s="5"/>
    </row>
    <row r="144" spans="3:20" ht="15.75" customHeight="1">
      <c r="C144" s="1"/>
      <c r="J144" s="2"/>
      <c r="K144" s="63"/>
      <c r="L144" s="63"/>
      <c r="M144" s="63"/>
      <c r="N144" s="3"/>
      <c r="O144" s="3"/>
      <c r="P144" s="3"/>
      <c r="R144" s="4"/>
      <c r="S144" s="5"/>
      <c r="T144" s="5"/>
    </row>
    <row r="145" spans="3:20" ht="15.75" customHeight="1">
      <c r="C145" s="1"/>
      <c r="J145" s="2"/>
      <c r="K145" s="63"/>
      <c r="L145" s="63"/>
      <c r="M145" s="63"/>
      <c r="N145" s="3"/>
      <c r="O145" s="3"/>
      <c r="P145" s="3"/>
      <c r="R145" s="4"/>
      <c r="S145" s="5"/>
      <c r="T145" s="5"/>
    </row>
    <row r="146" spans="3:20" ht="15.75" customHeight="1">
      <c r="C146" s="1"/>
      <c r="J146" s="2"/>
      <c r="K146" s="63"/>
      <c r="L146" s="63"/>
      <c r="M146" s="63"/>
      <c r="N146" s="3"/>
      <c r="O146" s="3"/>
      <c r="P146" s="3"/>
      <c r="R146" s="4"/>
      <c r="S146" s="5"/>
      <c r="T146" s="5"/>
    </row>
    <row r="147" spans="3:20" ht="15.75" customHeight="1">
      <c r="C147" s="1"/>
      <c r="J147" s="2"/>
      <c r="K147" s="63"/>
      <c r="L147" s="63"/>
      <c r="M147" s="63"/>
      <c r="N147" s="3"/>
      <c r="O147" s="3"/>
      <c r="P147" s="3"/>
      <c r="R147" s="4"/>
      <c r="S147" s="5"/>
      <c r="T147" s="5"/>
    </row>
    <row r="148" spans="3:20" ht="15.75" customHeight="1">
      <c r="C148" s="1"/>
      <c r="J148" s="2"/>
      <c r="K148" s="63"/>
      <c r="L148" s="63"/>
      <c r="M148" s="63"/>
      <c r="N148" s="3"/>
      <c r="O148" s="3"/>
      <c r="P148" s="3"/>
      <c r="R148" s="4"/>
      <c r="S148" s="5"/>
      <c r="T148" s="5"/>
    </row>
    <row r="149" spans="3:20" ht="15.75" customHeight="1">
      <c r="C149" s="1"/>
      <c r="J149" s="2"/>
      <c r="K149" s="63"/>
      <c r="L149" s="63"/>
      <c r="M149" s="63"/>
      <c r="N149" s="3"/>
      <c r="O149" s="3"/>
      <c r="P149" s="3"/>
      <c r="R149" s="4"/>
      <c r="S149" s="5"/>
      <c r="T149" s="5"/>
    </row>
    <row r="150" spans="3:20" ht="15.75" customHeight="1">
      <c r="C150" s="1"/>
      <c r="J150" s="2"/>
      <c r="K150" s="63"/>
      <c r="L150" s="63"/>
      <c r="M150" s="63"/>
      <c r="N150" s="3"/>
      <c r="O150" s="3"/>
      <c r="P150" s="3"/>
      <c r="R150" s="4"/>
      <c r="S150" s="5"/>
      <c r="T150" s="5"/>
    </row>
    <row r="151" spans="3:20" ht="15.75" customHeight="1">
      <c r="C151" s="1"/>
      <c r="J151" s="2"/>
      <c r="K151" s="63"/>
      <c r="L151" s="63"/>
      <c r="M151" s="63"/>
      <c r="N151" s="3"/>
      <c r="O151" s="3"/>
      <c r="P151" s="3"/>
      <c r="R151" s="4"/>
      <c r="S151" s="5"/>
      <c r="T151" s="5"/>
    </row>
    <row r="152" spans="3:20" ht="15.75" customHeight="1">
      <c r="C152" s="1"/>
      <c r="J152" s="2"/>
      <c r="K152" s="63"/>
      <c r="L152" s="63"/>
      <c r="M152" s="63"/>
      <c r="N152" s="3"/>
      <c r="O152" s="3"/>
      <c r="P152" s="3"/>
      <c r="R152" s="4"/>
      <c r="S152" s="5"/>
      <c r="T152" s="5"/>
    </row>
    <row r="153" spans="3:20" ht="15.75" customHeight="1">
      <c r="C153" s="1"/>
      <c r="J153" s="2"/>
      <c r="K153" s="63"/>
      <c r="L153" s="63"/>
      <c r="M153" s="63"/>
      <c r="N153" s="3"/>
      <c r="O153" s="3"/>
      <c r="P153" s="3"/>
      <c r="R153" s="4"/>
      <c r="S153" s="5"/>
      <c r="T153" s="5"/>
    </row>
    <row r="154" spans="3:20" ht="15.75" customHeight="1">
      <c r="C154" s="1"/>
      <c r="J154" s="2"/>
      <c r="K154" s="63"/>
      <c r="L154" s="63"/>
      <c r="M154" s="63"/>
      <c r="N154" s="3"/>
      <c r="O154" s="3"/>
      <c r="P154" s="3"/>
      <c r="R154" s="4"/>
      <c r="S154" s="5"/>
      <c r="T154" s="5"/>
    </row>
    <row r="155" spans="3:20" ht="15.75" customHeight="1">
      <c r="C155" s="1"/>
      <c r="J155" s="2"/>
      <c r="K155" s="63"/>
      <c r="L155" s="63"/>
      <c r="M155" s="63"/>
      <c r="N155" s="3"/>
      <c r="O155" s="3"/>
      <c r="P155" s="3"/>
      <c r="R155" s="4"/>
      <c r="S155" s="5"/>
      <c r="T155" s="5"/>
    </row>
    <row r="156" spans="3:20" ht="15.75" customHeight="1">
      <c r="C156" s="1"/>
      <c r="J156" s="2"/>
      <c r="K156" s="63"/>
      <c r="L156" s="63"/>
      <c r="M156" s="63"/>
      <c r="N156" s="3"/>
      <c r="O156" s="3"/>
      <c r="P156" s="3"/>
      <c r="R156" s="4"/>
      <c r="S156" s="5"/>
      <c r="T156" s="5"/>
    </row>
    <row r="157" spans="3:20" ht="15.75" customHeight="1">
      <c r="C157" s="1"/>
      <c r="J157" s="2"/>
      <c r="K157" s="63"/>
      <c r="L157" s="63"/>
      <c r="M157" s="63"/>
      <c r="N157" s="3"/>
      <c r="O157" s="3"/>
      <c r="P157" s="3"/>
      <c r="R157" s="4"/>
      <c r="S157" s="5"/>
      <c r="T157" s="5"/>
    </row>
    <row r="158" spans="3:20" ht="15.75" customHeight="1">
      <c r="C158" s="1"/>
      <c r="J158" s="2"/>
      <c r="K158" s="63"/>
      <c r="L158" s="63"/>
      <c r="M158" s="63"/>
      <c r="N158" s="3"/>
      <c r="O158" s="3"/>
      <c r="P158" s="3"/>
      <c r="R158" s="4"/>
      <c r="S158" s="5"/>
      <c r="T158" s="5"/>
    </row>
    <row r="159" spans="3:20" ht="15.75" customHeight="1">
      <c r="C159" s="1"/>
      <c r="J159" s="2"/>
      <c r="K159" s="63"/>
      <c r="L159" s="63"/>
      <c r="M159" s="63"/>
      <c r="N159" s="3"/>
      <c r="O159" s="3"/>
      <c r="P159" s="3"/>
      <c r="R159" s="4"/>
      <c r="S159" s="5"/>
      <c r="T159" s="5"/>
    </row>
    <row r="160" spans="3:20" ht="15.75" customHeight="1">
      <c r="C160" s="1"/>
      <c r="J160" s="2"/>
      <c r="K160" s="63"/>
      <c r="L160" s="63"/>
      <c r="M160" s="63"/>
      <c r="N160" s="3"/>
      <c r="O160" s="3"/>
      <c r="P160" s="3"/>
      <c r="R160" s="4"/>
      <c r="S160" s="5"/>
      <c r="T160" s="5"/>
    </row>
    <row r="161" spans="3:20" ht="15.75" customHeight="1">
      <c r="C161" s="1"/>
      <c r="J161" s="2"/>
      <c r="K161" s="63"/>
      <c r="L161" s="63"/>
      <c r="M161" s="63"/>
      <c r="N161" s="3"/>
      <c r="O161" s="3"/>
      <c r="P161" s="3"/>
      <c r="R161" s="4"/>
      <c r="S161" s="5"/>
      <c r="T161" s="5"/>
    </row>
    <row r="162" spans="3:20" ht="15.75" customHeight="1">
      <c r="C162" s="1"/>
      <c r="J162" s="2"/>
      <c r="K162" s="63"/>
      <c r="L162" s="63"/>
      <c r="M162" s="63"/>
      <c r="N162" s="3"/>
      <c r="O162" s="3"/>
      <c r="P162" s="3"/>
      <c r="R162" s="4"/>
      <c r="S162" s="5"/>
      <c r="T162" s="5"/>
    </row>
    <row r="163" spans="3:20" ht="15.75" customHeight="1">
      <c r="C163" s="1"/>
      <c r="J163" s="2"/>
      <c r="K163" s="63"/>
      <c r="L163" s="63"/>
      <c r="M163" s="63"/>
      <c r="N163" s="3"/>
      <c r="O163" s="3"/>
      <c r="P163" s="3"/>
      <c r="R163" s="4"/>
      <c r="S163" s="5"/>
      <c r="T163" s="5"/>
    </row>
    <row r="164" spans="3:20" ht="15.75" customHeight="1">
      <c r="C164" s="1"/>
      <c r="J164" s="2"/>
      <c r="K164" s="63"/>
      <c r="L164" s="63"/>
      <c r="M164" s="63"/>
      <c r="N164" s="3"/>
      <c r="O164" s="3"/>
      <c r="P164" s="3"/>
      <c r="R164" s="4"/>
      <c r="S164" s="5"/>
      <c r="T164" s="5"/>
    </row>
    <row r="165" spans="3:20" ht="15.75" customHeight="1">
      <c r="C165" s="1"/>
      <c r="J165" s="2"/>
      <c r="K165" s="63"/>
      <c r="L165" s="63"/>
      <c r="M165" s="63"/>
      <c r="N165" s="3"/>
      <c r="O165" s="3"/>
      <c r="P165" s="3"/>
      <c r="R165" s="4"/>
      <c r="S165" s="5"/>
      <c r="T165" s="5"/>
    </row>
    <row r="166" spans="3:20" ht="15.75" customHeight="1">
      <c r="C166" s="1"/>
      <c r="J166" s="2"/>
      <c r="K166" s="63"/>
      <c r="L166" s="63"/>
      <c r="M166" s="63"/>
      <c r="N166" s="3"/>
      <c r="O166" s="3"/>
      <c r="P166" s="3"/>
      <c r="R166" s="4"/>
      <c r="S166" s="5"/>
      <c r="T166" s="5"/>
    </row>
    <row r="167" spans="3:20" ht="15.75" customHeight="1">
      <c r="C167" s="1"/>
      <c r="J167" s="2"/>
      <c r="K167" s="63"/>
      <c r="L167" s="63"/>
      <c r="M167" s="63"/>
      <c r="N167" s="3"/>
      <c r="O167" s="3"/>
      <c r="P167" s="3"/>
      <c r="R167" s="4"/>
      <c r="S167" s="5"/>
      <c r="T167" s="5"/>
    </row>
    <row r="168" spans="3:20" ht="15.75" customHeight="1">
      <c r="C168" s="1"/>
      <c r="J168" s="2"/>
      <c r="K168" s="63"/>
      <c r="L168" s="63"/>
      <c r="M168" s="63"/>
      <c r="N168" s="3"/>
      <c r="O168" s="3"/>
      <c r="P168" s="3"/>
      <c r="R168" s="4"/>
      <c r="S168" s="5"/>
      <c r="T168" s="5"/>
    </row>
    <row r="169" spans="3:20" ht="15.75" customHeight="1">
      <c r="C169" s="1"/>
      <c r="J169" s="2"/>
      <c r="K169" s="63"/>
      <c r="L169" s="63"/>
      <c r="M169" s="63"/>
      <c r="N169" s="3"/>
      <c r="O169" s="3"/>
      <c r="P169" s="3"/>
      <c r="R169" s="4"/>
      <c r="S169" s="5"/>
      <c r="T169" s="5"/>
    </row>
    <row r="170" spans="3:20" ht="15.75" customHeight="1">
      <c r="C170" s="1"/>
      <c r="J170" s="2"/>
      <c r="K170" s="63"/>
      <c r="L170" s="63"/>
      <c r="M170" s="63"/>
      <c r="N170" s="3"/>
      <c r="O170" s="3"/>
      <c r="P170" s="3"/>
      <c r="R170" s="4"/>
      <c r="S170" s="5"/>
      <c r="T170" s="5"/>
    </row>
    <row r="171" spans="3:20" ht="15.75" customHeight="1">
      <c r="C171" s="1"/>
      <c r="J171" s="2"/>
      <c r="K171" s="63"/>
      <c r="L171" s="63"/>
      <c r="M171" s="63"/>
      <c r="N171" s="3"/>
      <c r="O171" s="3"/>
      <c r="P171" s="3"/>
      <c r="R171" s="4"/>
      <c r="S171" s="5"/>
      <c r="T171" s="5"/>
    </row>
    <row r="172" spans="3:20" ht="15.75" customHeight="1">
      <c r="C172" s="1"/>
      <c r="J172" s="2"/>
      <c r="K172" s="63"/>
      <c r="L172" s="63"/>
      <c r="M172" s="63"/>
      <c r="N172" s="3"/>
      <c r="O172" s="3"/>
      <c r="P172" s="3"/>
      <c r="R172" s="4"/>
      <c r="S172" s="5"/>
      <c r="T172" s="5"/>
    </row>
    <row r="173" spans="3:20" ht="15.75" customHeight="1">
      <c r="C173" s="1"/>
      <c r="J173" s="2"/>
      <c r="K173" s="63"/>
      <c r="L173" s="63"/>
      <c r="M173" s="63"/>
      <c r="N173" s="3"/>
      <c r="O173" s="3"/>
      <c r="P173" s="3"/>
      <c r="R173" s="4"/>
      <c r="S173" s="5"/>
      <c r="T173" s="5"/>
    </row>
    <row r="174" spans="3:20" ht="15.75" customHeight="1">
      <c r="C174" s="1"/>
      <c r="J174" s="2"/>
      <c r="K174" s="63"/>
      <c r="L174" s="63"/>
      <c r="M174" s="63"/>
      <c r="N174" s="3"/>
      <c r="O174" s="3"/>
      <c r="P174" s="3"/>
      <c r="R174" s="4"/>
      <c r="S174" s="5"/>
      <c r="T174" s="5"/>
    </row>
    <row r="175" spans="3:20" ht="15.75" customHeight="1">
      <c r="C175" s="1"/>
      <c r="J175" s="2"/>
      <c r="K175" s="63"/>
      <c r="L175" s="63"/>
      <c r="M175" s="63"/>
      <c r="N175" s="3"/>
      <c r="O175" s="3"/>
      <c r="P175" s="3"/>
      <c r="R175" s="4"/>
      <c r="S175" s="5"/>
      <c r="T175" s="5"/>
    </row>
    <row r="176" spans="3:20" ht="15.75" customHeight="1">
      <c r="C176" s="1"/>
      <c r="J176" s="2"/>
      <c r="K176" s="63"/>
      <c r="L176" s="63"/>
      <c r="M176" s="63"/>
      <c r="N176" s="3"/>
      <c r="O176" s="3"/>
      <c r="P176" s="3"/>
      <c r="R176" s="4"/>
      <c r="S176" s="5"/>
      <c r="T176" s="5"/>
    </row>
    <row r="177" spans="3:20" ht="15.75" customHeight="1">
      <c r="C177" s="1"/>
      <c r="J177" s="2"/>
      <c r="K177" s="63"/>
      <c r="L177" s="63"/>
      <c r="M177" s="63"/>
      <c r="N177" s="3"/>
      <c r="O177" s="3"/>
      <c r="P177" s="3"/>
      <c r="R177" s="4"/>
      <c r="S177" s="5"/>
      <c r="T177" s="5"/>
    </row>
    <row r="178" spans="3:20" ht="15.75" customHeight="1">
      <c r="C178" s="1"/>
      <c r="J178" s="2"/>
      <c r="K178" s="63"/>
      <c r="L178" s="63"/>
      <c r="M178" s="63"/>
      <c r="N178" s="3"/>
      <c r="O178" s="3"/>
      <c r="P178" s="3"/>
      <c r="R178" s="4"/>
      <c r="S178" s="5"/>
      <c r="T178" s="5"/>
    </row>
    <row r="179" spans="3:20" ht="15.75" customHeight="1">
      <c r="C179" s="1"/>
      <c r="J179" s="2"/>
      <c r="K179" s="63"/>
      <c r="L179" s="63"/>
      <c r="M179" s="63"/>
      <c r="N179" s="3"/>
      <c r="O179" s="3"/>
      <c r="P179" s="3"/>
      <c r="R179" s="4"/>
      <c r="S179" s="5"/>
      <c r="T179" s="5"/>
    </row>
    <row r="180" spans="3:20" ht="15.75" customHeight="1">
      <c r="C180" s="1"/>
      <c r="J180" s="2"/>
      <c r="K180" s="63"/>
      <c r="L180" s="63"/>
      <c r="M180" s="63"/>
      <c r="N180" s="3"/>
      <c r="O180" s="3"/>
      <c r="P180" s="3"/>
      <c r="R180" s="4"/>
      <c r="S180" s="5"/>
      <c r="T180" s="5"/>
    </row>
    <row r="181" spans="3:20" ht="15.75" customHeight="1">
      <c r="C181" s="1"/>
      <c r="J181" s="2"/>
      <c r="K181" s="63"/>
      <c r="L181" s="63"/>
      <c r="M181" s="63"/>
      <c r="N181" s="3"/>
      <c r="O181" s="3"/>
      <c r="P181" s="3"/>
      <c r="R181" s="4"/>
      <c r="S181" s="5"/>
      <c r="T181" s="5"/>
    </row>
    <row r="182" spans="3:20" ht="15.75" customHeight="1">
      <c r="C182" s="1"/>
      <c r="J182" s="2"/>
      <c r="K182" s="63"/>
      <c r="L182" s="63"/>
      <c r="M182" s="63"/>
      <c r="N182" s="3"/>
      <c r="O182" s="3"/>
      <c r="P182" s="3"/>
      <c r="R182" s="4"/>
      <c r="S182" s="5"/>
      <c r="T182" s="5"/>
    </row>
    <row r="183" spans="3:20" ht="15.75" customHeight="1">
      <c r="C183" s="1"/>
      <c r="J183" s="2"/>
      <c r="K183" s="63"/>
      <c r="L183" s="63"/>
      <c r="M183" s="63"/>
      <c r="N183" s="3"/>
      <c r="O183" s="3"/>
      <c r="P183" s="3"/>
      <c r="R183" s="4"/>
      <c r="S183" s="5"/>
      <c r="T183" s="5"/>
    </row>
    <row r="184" spans="3:20" ht="15.75" customHeight="1">
      <c r="C184" s="1"/>
      <c r="J184" s="2"/>
      <c r="K184" s="63"/>
      <c r="L184" s="63"/>
      <c r="M184" s="63"/>
      <c r="N184" s="3"/>
      <c r="O184" s="3"/>
      <c r="P184" s="3"/>
      <c r="R184" s="4"/>
      <c r="S184" s="5"/>
      <c r="T184" s="5"/>
    </row>
    <row r="185" spans="3:20" ht="15.75" customHeight="1">
      <c r="C185" s="1"/>
      <c r="J185" s="2"/>
      <c r="K185" s="63"/>
      <c r="L185" s="63"/>
      <c r="M185" s="63"/>
      <c r="N185" s="3"/>
      <c r="O185" s="3"/>
      <c r="P185" s="3"/>
      <c r="R185" s="4"/>
      <c r="S185" s="5"/>
      <c r="T185" s="5"/>
    </row>
    <row r="186" spans="3:20" ht="15.75" customHeight="1">
      <c r="C186" s="1"/>
      <c r="J186" s="2"/>
      <c r="K186" s="63"/>
      <c r="L186" s="63"/>
      <c r="M186" s="63"/>
      <c r="N186" s="3"/>
      <c r="O186" s="3"/>
      <c r="P186" s="3"/>
      <c r="R186" s="4"/>
      <c r="S186" s="5"/>
      <c r="T186" s="5"/>
    </row>
    <row r="187" spans="3:20" ht="15.75" customHeight="1">
      <c r="C187" s="1"/>
      <c r="J187" s="2"/>
      <c r="K187" s="63"/>
      <c r="L187" s="63"/>
      <c r="M187" s="63"/>
      <c r="N187" s="3"/>
      <c r="O187" s="3"/>
      <c r="P187" s="3"/>
      <c r="R187" s="4"/>
      <c r="S187" s="5"/>
      <c r="T187" s="5"/>
    </row>
    <row r="188" spans="3:20" ht="15.75" customHeight="1">
      <c r="C188" s="1"/>
      <c r="J188" s="2"/>
      <c r="K188" s="63"/>
      <c r="L188" s="63"/>
      <c r="M188" s="63"/>
      <c r="N188" s="3"/>
      <c r="O188" s="3"/>
      <c r="P188" s="3"/>
      <c r="R188" s="4"/>
      <c r="S188" s="5"/>
      <c r="T188" s="5"/>
    </row>
    <row r="189" spans="3:20" ht="15.75" customHeight="1">
      <c r="C189" s="1"/>
      <c r="J189" s="2"/>
      <c r="K189" s="63"/>
      <c r="L189" s="63"/>
      <c r="M189" s="63"/>
      <c r="N189" s="3"/>
      <c r="O189" s="3"/>
      <c r="P189" s="3"/>
      <c r="R189" s="4"/>
      <c r="S189" s="5"/>
      <c r="T189" s="5"/>
    </row>
    <row r="190" spans="3:20" ht="15.75" customHeight="1">
      <c r="C190" s="1"/>
      <c r="J190" s="2"/>
      <c r="K190" s="63"/>
      <c r="L190" s="63"/>
      <c r="M190" s="63"/>
      <c r="N190" s="3"/>
      <c r="O190" s="3"/>
      <c r="P190" s="3"/>
      <c r="R190" s="4"/>
      <c r="S190" s="5"/>
      <c r="T190" s="5"/>
    </row>
    <row r="191" spans="3:20" ht="15.75" customHeight="1">
      <c r="C191" s="1"/>
      <c r="J191" s="2"/>
      <c r="K191" s="63"/>
      <c r="L191" s="63"/>
      <c r="M191" s="63"/>
      <c r="N191" s="3"/>
      <c r="O191" s="3"/>
      <c r="P191" s="3"/>
      <c r="R191" s="4"/>
      <c r="S191" s="5"/>
      <c r="T191" s="5"/>
    </row>
    <row r="192" spans="3:20" ht="15.75" customHeight="1">
      <c r="C192" s="1"/>
      <c r="J192" s="2"/>
      <c r="K192" s="63"/>
      <c r="L192" s="63"/>
      <c r="M192" s="63"/>
      <c r="N192" s="3"/>
      <c r="O192" s="3"/>
      <c r="P192" s="3"/>
      <c r="R192" s="4"/>
      <c r="S192" s="5"/>
      <c r="T192" s="5"/>
    </row>
    <row r="193" spans="3:20" ht="15.75" customHeight="1">
      <c r="C193" s="1"/>
      <c r="J193" s="2"/>
      <c r="K193" s="63"/>
      <c r="L193" s="63"/>
      <c r="M193" s="63"/>
      <c r="N193" s="3"/>
      <c r="O193" s="3"/>
      <c r="P193" s="3"/>
      <c r="R193" s="4"/>
      <c r="S193" s="5"/>
      <c r="T193" s="5"/>
    </row>
    <row r="194" spans="3:20" ht="15.75" customHeight="1">
      <c r="C194" s="1"/>
      <c r="J194" s="2"/>
      <c r="K194" s="63"/>
      <c r="L194" s="63"/>
      <c r="M194" s="63"/>
      <c r="N194" s="3"/>
      <c r="O194" s="3"/>
      <c r="P194" s="3"/>
      <c r="R194" s="4"/>
      <c r="S194" s="5"/>
      <c r="T194" s="5"/>
    </row>
    <row r="195" spans="3:20" ht="15.75" customHeight="1">
      <c r="C195" s="1"/>
      <c r="J195" s="2"/>
      <c r="K195" s="63"/>
      <c r="L195" s="63"/>
      <c r="M195" s="63"/>
      <c r="N195" s="3"/>
      <c r="O195" s="3"/>
      <c r="P195" s="3"/>
      <c r="R195" s="4"/>
      <c r="S195" s="5"/>
      <c r="T195" s="5"/>
    </row>
    <row r="196" spans="3:20" ht="15.75" customHeight="1">
      <c r="C196" s="1"/>
      <c r="J196" s="2"/>
      <c r="K196" s="63"/>
      <c r="L196" s="63"/>
      <c r="M196" s="63"/>
      <c r="N196" s="3"/>
      <c r="O196" s="3"/>
      <c r="P196" s="3"/>
      <c r="R196" s="4"/>
      <c r="S196" s="5"/>
      <c r="T196" s="5"/>
    </row>
    <row r="197" spans="3:20" ht="15.75" customHeight="1">
      <c r="C197" s="1"/>
      <c r="J197" s="2"/>
      <c r="K197" s="63"/>
      <c r="L197" s="63"/>
      <c r="M197" s="63"/>
      <c r="N197" s="3"/>
      <c r="O197" s="3"/>
      <c r="P197" s="3"/>
      <c r="R197" s="4"/>
      <c r="S197" s="5"/>
      <c r="T197" s="5"/>
    </row>
    <row r="198" spans="3:20" ht="15.75" customHeight="1">
      <c r="C198" s="1"/>
      <c r="J198" s="2"/>
      <c r="K198" s="63"/>
      <c r="L198" s="63"/>
      <c r="M198" s="63"/>
      <c r="N198" s="3"/>
      <c r="O198" s="3"/>
      <c r="P198" s="3"/>
      <c r="R198" s="4"/>
      <c r="S198" s="5"/>
      <c r="T198" s="5"/>
    </row>
    <row r="199" spans="3:20" ht="15.75" customHeight="1">
      <c r="C199" s="1"/>
      <c r="J199" s="2"/>
      <c r="K199" s="63"/>
      <c r="L199" s="63"/>
      <c r="M199" s="63"/>
      <c r="N199" s="3"/>
      <c r="O199" s="3"/>
      <c r="P199" s="3"/>
      <c r="R199" s="4"/>
      <c r="S199" s="5"/>
      <c r="T199" s="5"/>
    </row>
    <row r="200" spans="3:20" ht="15.75" customHeight="1">
      <c r="C200" s="1"/>
      <c r="J200" s="2"/>
      <c r="K200" s="63"/>
      <c r="L200" s="63"/>
      <c r="M200" s="63"/>
      <c r="N200" s="3"/>
      <c r="O200" s="3"/>
      <c r="P200" s="3"/>
      <c r="R200" s="4"/>
      <c r="S200" s="5"/>
      <c r="T200" s="5"/>
    </row>
    <row r="201" spans="3:20" ht="15.75" customHeight="1">
      <c r="C201" s="1"/>
      <c r="J201" s="2"/>
      <c r="K201" s="63"/>
      <c r="L201" s="63"/>
      <c r="M201" s="63"/>
      <c r="N201" s="3"/>
      <c r="O201" s="3"/>
      <c r="P201" s="3"/>
      <c r="R201" s="4"/>
      <c r="S201" s="5"/>
      <c r="T201" s="5"/>
    </row>
    <row r="202" spans="3:20" ht="15.75" customHeight="1">
      <c r="C202" s="1"/>
      <c r="J202" s="2"/>
      <c r="K202" s="63"/>
      <c r="L202" s="63"/>
      <c r="M202" s="63"/>
      <c r="N202" s="3"/>
      <c r="O202" s="3"/>
      <c r="P202" s="3"/>
      <c r="R202" s="4"/>
      <c r="S202" s="5"/>
      <c r="T202" s="5"/>
    </row>
    <row r="203" spans="3:20" ht="15.75" customHeight="1">
      <c r="C203" s="1"/>
      <c r="J203" s="2"/>
      <c r="K203" s="63"/>
      <c r="L203" s="63"/>
      <c r="M203" s="63"/>
      <c r="N203" s="3"/>
      <c r="O203" s="3"/>
      <c r="P203" s="3"/>
      <c r="R203" s="4"/>
      <c r="S203" s="5"/>
      <c r="T203" s="5"/>
    </row>
    <row r="204" spans="3:20" ht="15.75" customHeight="1">
      <c r="C204" s="1"/>
      <c r="J204" s="2"/>
      <c r="K204" s="63"/>
      <c r="L204" s="63"/>
      <c r="M204" s="63"/>
      <c r="N204" s="3"/>
      <c r="O204" s="3"/>
      <c r="P204" s="3"/>
      <c r="R204" s="4"/>
      <c r="S204" s="5"/>
      <c r="T204" s="5"/>
    </row>
    <row r="205" spans="3:20" ht="15.75" customHeight="1">
      <c r="C205" s="1"/>
      <c r="J205" s="2"/>
      <c r="K205" s="63"/>
      <c r="L205" s="63"/>
      <c r="M205" s="63"/>
      <c r="N205" s="3"/>
      <c r="O205" s="3"/>
      <c r="P205" s="3"/>
      <c r="R205" s="4"/>
      <c r="S205" s="5"/>
      <c r="T205" s="5"/>
    </row>
    <row r="206" spans="3:20" ht="15.75" customHeight="1">
      <c r="C206" s="1"/>
      <c r="J206" s="2"/>
      <c r="K206" s="63"/>
      <c r="L206" s="63"/>
      <c r="M206" s="63"/>
      <c r="N206" s="3"/>
      <c r="O206" s="3"/>
      <c r="P206" s="3"/>
      <c r="R206" s="4"/>
      <c r="S206" s="5"/>
      <c r="T206" s="5"/>
    </row>
    <row r="207" spans="3:20" ht="15.75" customHeight="1">
      <c r="C207" s="1"/>
      <c r="J207" s="2"/>
      <c r="K207" s="63"/>
      <c r="L207" s="63"/>
      <c r="M207" s="63"/>
      <c r="N207" s="3"/>
      <c r="O207" s="3"/>
      <c r="P207" s="3"/>
      <c r="R207" s="4"/>
      <c r="S207" s="5"/>
      <c r="T207" s="5"/>
    </row>
    <row r="208" spans="3:20" ht="15.75" customHeight="1">
      <c r="C208" s="1"/>
      <c r="J208" s="2"/>
      <c r="K208" s="63"/>
      <c r="L208" s="63"/>
      <c r="M208" s="63"/>
      <c r="N208" s="3"/>
      <c r="O208" s="3"/>
      <c r="P208" s="3"/>
      <c r="R208" s="4"/>
      <c r="S208" s="5"/>
      <c r="T208" s="5"/>
    </row>
    <row r="209" spans="3:20" ht="15.75" customHeight="1">
      <c r="C209" s="1"/>
      <c r="J209" s="2"/>
      <c r="K209" s="63"/>
      <c r="L209" s="63"/>
      <c r="M209" s="63"/>
      <c r="N209" s="3"/>
      <c r="O209" s="3"/>
      <c r="P209" s="3"/>
      <c r="R209" s="4"/>
      <c r="S209" s="5"/>
      <c r="T209" s="5"/>
    </row>
    <row r="210" spans="3:20" ht="15.75" customHeight="1">
      <c r="C210" s="1"/>
      <c r="J210" s="2"/>
      <c r="K210" s="63"/>
      <c r="L210" s="63"/>
      <c r="M210" s="63"/>
      <c r="N210" s="3"/>
      <c r="O210" s="3"/>
      <c r="P210" s="3"/>
      <c r="R210" s="4"/>
      <c r="S210" s="5"/>
      <c r="T210" s="5"/>
    </row>
    <row r="211" spans="3:20" ht="15.75" customHeight="1">
      <c r="C211" s="1"/>
      <c r="J211" s="2"/>
      <c r="K211" s="63"/>
      <c r="L211" s="63"/>
      <c r="M211" s="63"/>
      <c r="N211" s="3"/>
      <c r="O211" s="3"/>
      <c r="P211" s="3"/>
      <c r="R211" s="4"/>
      <c r="S211" s="5"/>
      <c r="T211" s="5"/>
    </row>
    <row r="212" spans="3:20" ht="15.75" customHeight="1">
      <c r="C212" s="1"/>
      <c r="J212" s="2"/>
      <c r="K212" s="63"/>
      <c r="L212" s="63"/>
      <c r="M212" s="63"/>
      <c r="N212" s="3"/>
      <c r="O212" s="3"/>
      <c r="P212" s="3"/>
      <c r="R212" s="4"/>
      <c r="S212" s="5"/>
      <c r="T212" s="5"/>
    </row>
    <row r="213" spans="3:20" ht="15.75" customHeight="1">
      <c r="C213" s="1"/>
      <c r="J213" s="2"/>
      <c r="K213" s="63"/>
      <c r="L213" s="63"/>
      <c r="M213" s="63"/>
      <c r="N213" s="3"/>
      <c r="O213" s="3"/>
      <c r="P213" s="3"/>
      <c r="R213" s="4"/>
      <c r="S213" s="5"/>
      <c r="T213" s="5"/>
    </row>
    <row r="214" spans="3:20" ht="15.75" customHeight="1">
      <c r="C214" s="1"/>
      <c r="J214" s="2"/>
      <c r="K214" s="63"/>
      <c r="L214" s="63"/>
      <c r="M214" s="63"/>
      <c r="N214" s="3"/>
      <c r="O214" s="3"/>
      <c r="P214" s="3"/>
      <c r="R214" s="4"/>
      <c r="S214" s="5"/>
      <c r="T214" s="5"/>
    </row>
    <row r="215" spans="3:20" ht="15.75" customHeight="1">
      <c r="C215" s="1"/>
      <c r="J215" s="2"/>
      <c r="K215" s="63"/>
      <c r="L215" s="63"/>
      <c r="M215" s="63"/>
      <c r="N215" s="3"/>
      <c r="O215" s="3"/>
      <c r="P215" s="3"/>
      <c r="R215" s="4"/>
      <c r="S215" s="5"/>
      <c r="T215" s="5"/>
    </row>
    <row r="216" spans="3:20" ht="15.75" customHeight="1">
      <c r="C216" s="1"/>
      <c r="J216" s="2"/>
      <c r="K216" s="63"/>
      <c r="L216" s="63"/>
      <c r="M216" s="63"/>
      <c r="N216" s="3"/>
      <c r="O216" s="3"/>
      <c r="P216" s="3"/>
      <c r="R216" s="4"/>
      <c r="S216" s="5"/>
      <c r="T216" s="5"/>
    </row>
    <row r="217" spans="3:20" ht="15.75" customHeight="1">
      <c r="C217" s="1"/>
      <c r="J217" s="2"/>
      <c r="K217" s="63"/>
      <c r="L217" s="63"/>
      <c r="M217" s="63"/>
      <c r="N217" s="3"/>
      <c r="O217" s="3"/>
      <c r="P217" s="3"/>
      <c r="R217" s="4"/>
      <c r="S217" s="5"/>
      <c r="T217" s="5"/>
    </row>
    <row r="218" spans="3:20" ht="15.75" customHeight="1">
      <c r="C218" s="1"/>
      <c r="J218" s="2"/>
      <c r="K218" s="63"/>
      <c r="L218" s="63"/>
      <c r="M218" s="63"/>
      <c r="N218" s="3"/>
      <c r="O218" s="3"/>
      <c r="P218" s="3"/>
      <c r="R218" s="4"/>
      <c r="S218" s="5"/>
      <c r="T218" s="5"/>
    </row>
    <row r="219" spans="3:20" ht="15.75" customHeight="1">
      <c r="C219" s="1"/>
      <c r="J219" s="2"/>
      <c r="K219" s="63"/>
      <c r="L219" s="63"/>
      <c r="M219" s="63"/>
      <c r="N219" s="3"/>
      <c r="O219" s="3"/>
      <c r="P219" s="3"/>
      <c r="R219" s="4"/>
      <c r="S219" s="5"/>
      <c r="T219" s="5"/>
    </row>
    <row r="220" spans="3:20" ht="15.75" customHeight="1">
      <c r="C220" s="1"/>
      <c r="J220" s="2"/>
      <c r="K220" s="63"/>
      <c r="L220" s="63"/>
      <c r="M220" s="63"/>
      <c r="N220" s="3"/>
      <c r="O220" s="3"/>
      <c r="P220" s="3"/>
      <c r="R220" s="4"/>
      <c r="S220" s="5"/>
      <c r="T220" s="5"/>
    </row>
    <row r="221" spans="3:20" ht="15.75" customHeight="1">
      <c r="C221" s="1"/>
      <c r="J221" s="2"/>
      <c r="K221" s="63"/>
      <c r="L221" s="63"/>
      <c r="M221" s="63"/>
      <c r="N221" s="3"/>
      <c r="O221" s="3"/>
      <c r="P221" s="3"/>
      <c r="R221" s="4"/>
      <c r="S221" s="5"/>
      <c r="T221" s="5"/>
    </row>
    <row r="222" spans="3:20" ht="15.75" customHeight="1">
      <c r="C222" s="1"/>
      <c r="J222" s="2"/>
      <c r="K222" s="63"/>
      <c r="L222" s="63"/>
      <c r="M222" s="63"/>
      <c r="N222" s="3"/>
      <c r="O222" s="3"/>
      <c r="P222" s="3"/>
      <c r="R222" s="4"/>
      <c r="S222" s="5"/>
      <c r="T222" s="5"/>
    </row>
    <row r="223" spans="3:20" ht="15.75" customHeight="1">
      <c r="C223" s="1"/>
      <c r="J223" s="2"/>
      <c r="K223" s="63"/>
      <c r="L223" s="63"/>
      <c r="M223" s="63"/>
      <c r="N223" s="3"/>
      <c r="O223" s="3"/>
      <c r="P223" s="3"/>
      <c r="R223" s="4"/>
      <c r="S223" s="5"/>
      <c r="T223" s="5"/>
    </row>
    <row r="224" spans="3:20" ht="15.75" customHeight="1">
      <c r="C224" s="1"/>
      <c r="J224" s="2"/>
      <c r="K224" s="63"/>
      <c r="L224" s="63"/>
      <c r="M224" s="63"/>
      <c r="N224" s="3"/>
      <c r="O224" s="3"/>
      <c r="P224" s="3"/>
      <c r="R224" s="4"/>
      <c r="S224" s="5"/>
      <c r="T224" s="5"/>
    </row>
    <row r="225" spans="3:20" ht="15.75" customHeight="1">
      <c r="C225" s="1"/>
      <c r="J225" s="2"/>
      <c r="K225" s="63"/>
      <c r="L225" s="63"/>
      <c r="M225" s="63"/>
      <c r="N225" s="3"/>
      <c r="O225" s="3"/>
      <c r="P225" s="3"/>
      <c r="R225" s="4"/>
      <c r="S225" s="5"/>
      <c r="T225" s="5"/>
    </row>
    <row r="226" spans="3:20" ht="15.75" customHeight="1">
      <c r="C226" s="1"/>
      <c r="J226" s="2"/>
      <c r="K226" s="63"/>
      <c r="L226" s="63"/>
      <c r="M226" s="63"/>
      <c r="N226" s="3"/>
      <c r="O226" s="3"/>
      <c r="P226" s="3"/>
      <c r="R226" s="4"/>
      <c r="S226" s="5"/>
      <c r="T226" s="5"/>
    </row>
    <row r="227" spans="3:20" ht="15.75" customHeight="1">
      <c r="C227" s="1"/>
      <c r="J227" s="2"/>
      <c r="K227" s="63"/>
      <c r="L227" s="63"/>
      <c r="M227" s="63"/>
      <c r="N227" s="3"/>
      <c r="O227" s="3"/>
      <c r="P227" s="3"/>
      <c r="R227" s="4"/>
      <c r="S227" s="5"/>
      <c r="T227" s="5"/>
    </row>
    <row r="228" spans="3:20" ht="15.75" customHeight="1">
      <c r="C228" s="1"/>
      <c r="J228" s="2"/>
      <c r="K228" s="63"/>
      <c r="L228" s="63"/>
      <c r="M228" s="63"/>
      <c r="N228" s="3"/>
      <c r="O228" s="3"/>
      <c r="P228" s="3"/>
      <c r="R228" s="4"/>
      <c r="S228" s="5"/>
      <c r="T228" s="5"/>
    </row>
    <row r="229" spans="3:20" ht="15.75" customHeight="1">
      <c r="C229" s="1"/>
      <c r="J229" s="2"/>
      <c r="K229" s="63"/>
      <c r="L229" s="63"/>
      <c r="M229" s="63"/>
      <c r="N229" s="3"/>
      <c r="O229" s="3"/>
      <c r="P229" s="3"/>
      <c r="R229" s="4"/>
      <c r="S229" s="5"/>
      <c r="T229" s="5"/>
    </row>
    <row r="230" spans="3:20" ht="15.75" customHeight="1">
      <c r="C230" s="1"/>
      <c r="J230" s="2"/>
      <c r="K230" s="63"/>
      <c r="L230" s="63"/>
      <c r="M230" s="63"/>
      <c r="N230" s="3"/>
      <c r="O230" s="3"/>
      <c r="P230" s="3"/>
      <c r="R230" s="4"/>
      <c r="S230" s="5"/>
      <c r="T230" s="5"/>
    </row>
    <row r="231" spans="3:20" ht="15.75" customHeight="1">
      <c r="C231" s="1"/>
      <c r="J231" s="2"/>
      <c r="K231" s="63"/>
      <c r="L231" s="63"/>
      <c r="M231" s="63"/>
      <c r="N231" s="3"/>
      <c r="O231" s="3"/>
      <c r="P231" s="3"/>
      <c r="R231" s="4"/>
      <c r="S231" s="5"/>
      <c r="T231" s="5"/>
    </row>
    <row r="232" spans="3:20" ht="15.75" customHeight="1">
      <c r="C232" s="1"/>
      <c r="J232" s="2"/>
      <c r="K232" s="63"/>
      <c r="L232" s="63"/>
      <c r="M232" s="63"/>
      <c r="N232" s="3"/>
      <c r="O232" s="3"/>
      <c r="P232" s="3"/>
      <c r="R232" s="4"/>
      <c r="S232" s="5"/>
      <c r="T232" s="5"/>
    </row>
    <row r="233" spans="3:20" ht="15.75" customHeight="1">
      <c r="C233" s="1"/>
      <c r="J233" s="2"/>
      <c r="K233" s="63"/>
      <c r="L233" s="63"/>
      <c r="M233" s="63"/>
      <c r="N233" s="3"/>
      <c r="O233" s="3"/>
      <c r="P233" s="3"/>
      <c r="R233" s="4"/>
      <c r="S233" s="5"/>
      <c r="T233" s="5"/>
    </row>
    <row r="234" spans="3:20" ht="15.75" customHeight="1">
      <c r="C234" s="1"/>
      <c r="J234" s="2"/>
      <c r="K234" s="63"/>
      <c r="L234" s="63"/>
      <c r="M234" s="63"/>
      <c r="N234" s="3"/>
      <c r="O234" s="3"/>
      <c r="P234" s="3"/>
      <c r="R234" s="4"/>
      <c r="S234" s="5"/>
      <c r="T234" s="5"/>
    </row>
    <row r="235" spans="3:20" ht="15.75" customHeight="1">
      <c r="C235" s="1"/>
      <c r="J235" s="2"/>
      <c r="K235" s="63"/>
      <c r="L235" s="63"/>
      <c r="M235" s="63"/>
      <c r="N235" s="3"/>
      <c r="O235" s="3"/>
      <c r="P235" s="3"/>
      <c r="R235" s="4"/>
      <c r="S235" s="5"/>
      <c r="T235" s="5"/>
    </row>
    <row r="236" spans="3:20" ht="15.75" customHeight="1">
      <c r="C236" s="1"/>
      <c r="J236" s="2"/>
      <c r="K236" s="63"/>
      <c r="L236" s="63"/>
      <c r="M236" s="63"/>
      <c r="N236" s="3"/>
      <c r="O236" s="3"/>
      <c r="P236" s="3"/>
      <c r="R236" s="4"/>
      <c r="S236" s="5"/>
      <c r="T236" s="5"/>
    </row>
    <row r="237" spans="3:20" ht="15.75" customHeight="1">
      <c r="C237" s="1"/>
      <c r="J237" s="2"/>
      <c r="K237" s="63"/>
      <c r="L237" s="63"/>
      <c r="M237" s="63"/>
      <c r="N237" s="3"/>
      <c r="O237" s="3"/>
      <c r="P237" s="3"/>
      <c r="R237" s="4"/>
      <c r="S237" s="5"/>
      <c r="T237" s="5"/>
    </row>
    <row r="238" spans="3:20" ht="15.75" customHeight="1">
      <c r="C238" s="1"/>
      <c r="J238" s="2"/>
      <c r="K238" s="63"/>
      <c r="L238" s="63"/>
      <c r="M238" s="63"/>
      <c r="N238" s="3"/>
      <c r="O238" s="3"/>
      <c r="P238" s="3"/>
      <c r="R238" s="4"/>
      <c r="S238" s="5"/>
      <c r="T238" s="5"/>
    </row>
    <row r="239" spans="3:20" ht="15.75" customHeight="1">
      <c r="C239" s="1"/>
      <c r="J239" s="2"/>
      <c r="K239" s="63"/>
      <c r="L239" s="63"/>
      <c r="M239" s="63"/>
      <c r="N239" s="3"/>
      <c r="O239" s="3"/>
      <c r="P239" s="3"/>
      <c r="R239" s="4"/>
      <c r="S239" s="5"/>
      <c r="T239" s="5"/>
    </row>
    <row r="240" spans="3:20" ht="15.75" customHeight="1">
      <c r="C240" s="1"/>
      <c r="J240" s="2"/>
      <c r="K240" s="63"/>
      <c r="L240" s="63"/>
      <c r="M240" s="63"/>
      <c r="N240" s="3"/>
      <c r="O240" s="3"/>
      <c r="P240" s="3"/>
      <c r="R240" s="4"/>
      <c r="S240" s="5"/>
      <c r="T240" s="5"/>
    </row>
    <row r="241" spans="3:20" ht="15.75" customHeight="1">
      <c r="C241" s="1"/>
      <c r="J241" s="2"/>
      <c r="K241" s="63"/>
      <c r="L241" s="63"/>
      <c r="M241" s="63"/>
      <c r="N241" s="3"/>
      <c r="O241" s="3"/>
      <c r="P241" s="3"/>
      <c r="R241" s="4"/>
      <c r="S241" s="5"/>
      <c r="T241" s="5"/>
    </row>
    <row r="242" spans="3:20" ht="15.75" customHeight="1">
      <c r="C242" s="1"/>
      <c r="J242" s="2"/>
      <c r="K242" s="63"/>
      <c r="L242" s="63"/>
      <c r="M242" s="63"/>
      <c r="N242" s="3"/>
      <c r="O242" s="3"/>
      <c r="P242" s="3"/>
      <c r="R242" s="4"/>
      <c r="S242" s="5"/>
      <c r="T242" s="5"/>
    </row>
    <row r="243" spans="3:20" ht="15.75" customHeight="1">
      <c r="C243" s="1"/>
      <c r="J243" s="2"/>
      <c r="K243" s="63"/>
      <c r="L243" s="63"/>
      <c r="M243" s="63"/>
      <c r="N243" s="3"/>
      <c r="O243" s="3"/>
      <c r="P243" s="3"/>
      <c r="R243" s="4"/>
      <c r="S243" s="5"/>
      <c r="T243" s="5"/>
    </row>
    <row r="244" spans="3:20" ht="15.75" customHeight="1">
      <c r="C244" s="1"/>
      <c r="J244" s="2"/>
      <c r="K244" s="63"/>
      <c r="L244" s="63"/>
      <c r="M244" s="63"/>
      <c r="N244" s="3"/>
      <c r="O244" s="3"/>
      <c r="P244" s="3"/>
      <c r="R244" s="4"/>
      <c r="S244" s="5"/>
      <c r="T244" s="5"/>
    </row>
    <row r="245" spans="3:20" ht="15.75" customHeight="1">
      <c r="C245" s="1"/>
      <c r="J245" s="2"/>
      <c r="K245" s="63"/>
      <c r="L245" s="63"/>
      <c r="M245" s="63"/>
      <c r="N245" s="3"/>
      <c r="O245" s="3"/>
      <c r="P245" s="3"/>
      <c r="R245" s="4"/>
      <c r="S245" s="5"/>
      <c r="T245" s="5"/>
    </row>
    <row r="246" spans="3:20" ht="15.75" customHeight="1">
      <c r="C246" s="1"/>
      <c r="J246" s="2"/>
      <c r="K246" s="63"/>
      <c r="L246" s="63"/>
      <c r="M246" s="63"/>
      <c r="N246" s="3"/>
      <c r="O246" s="3"/>
      <c r="P246" s="3"/>
      <c r="R246" s="4"/>
      <c r="S246" s="5"/>
      <c r="T246" s="5"/>
    </row>
    <row r="247" spans="3:20" ht="15.75" customHeight="1">
      <c r="C247" s="1"/>
      <c r="J247" s="2"/>
      <c r="K247" s="63"/>
      <c r="L247" s="63"/>
      <c r="M247" s="63"/>
      <c r="N247" s="3"/>
      <c r="O247" s="3"/>
      <c r="P247" s="3"/>
      <c r="R247" s="4"/>
      <c r="S247" s="5"/>
      <c r="T247" s="5"/>
    </row>
    <row r="248" spans="3:20" ht="15.75" customHeight="1">
      <c r="C248" s="1"/>
      <c r="J248" s="2"/>
      <c r="K248" s="63"/>
      <c r="L248" s="63"/>
      <c r="M248" s="63"/>
      <c r="N248" s="3"/>
      <c r="O248" s="3"/>
      <c r="P248" s="3"/>
      <c r="R248" s="4"/>
      <c r="S248" s="5"/>
      <c r="T248" s="5"/>
    </row>
    <row r="249" spans="3:20" ht="15.75" customHeight="1">
      <c r="C249" s="1"/>
      <c r="J249" s="2"/>
      <c r="K249" s="63"/>
      <c r="L249" s="63"/>
      <c r="M249" s="63"/>
      <c r="N249" s="3"/>
      <c r="O249" s="3"/>
      <c r="P249" s="3"/>
      <c r="R249" s="4"/>
      <c r="S249" s="5"/>
      <c r="T249" s="5"/>
    </row>
    <row r="250" spans="3:20" ht="15.75" customHeight="1">
      <c r="C250" s="1"/>
      <c r="J250" s="2"/>
      <c r="K250" s="63"/>
      <c r="L250" s="63"/>
      <c r="M250" s="63"/>
      <c r="N250" s="3"/>
      <c r="O250" s="3"/>
      <c r="P250" s="3"/>
      <c r="R250" s="4"/>
      <c r="S250" s="5"/>
      <c r="T250" s="5"/>
    </row>
    <row r="251" spans="3:20" ht="15.75" customHeight="1">
      <c r="C251" s="1"/>
      <c r="J251" s="2"/>
      <c r="K251" s="63"/>
      <c r="L251" s="63"/>
      <c r="M251" s="63"/>
      <c r="N251" s="3"/>
      <c r="O251" s="3"/>
      <c r="P251" s="3"/>
      <c r="R251" s="4"/>
      <c r="S251" s="5"/>
      <c r="T251" s="5"/>
    </row>
    <row r="252" spans="3:20" ht="15.75" customHeight="1">
      <c r="C252" s="1"/>
      <c r="J252" s="2"/>
      <c r="K252" s="63"/>
      <c r="L252" s="63"/>
      <c r="M252" s="63"/>
      <c r="N252" s="3"/>
      <c r="O252" s="3"/>
      <c r="P252" s="3"/>
      <c r="R252" s="4"/>
      <c r="S252" s="5"/>
      <c r="T252" s="5"/>
    </row>
    <row r="253" spans="3:20" ht="15.75" customHeight="1">
      <c r="C253" s="1"/>
      <c r="J253" s="2"/>
      <c r="K253" s="63"/>
      <c r="L253" s="63"/>
      <c r="M253" s="63"/>
      <c r="N253" s="3"/>
      <c r="O253" s="3"/>
      <c r="P253" s="3"/>
      <c r="R253" s="4"/>
      <c r="S253" s="5"/>
      <c r="T253" s="5"/>
    </row>
    <row r="254" spans="3:20" ht="15.75" customHeight="1">
      <c r="C254" s="1"/>
      <c r="J254" s="2"/>
      <c r="K254" s="63"/>
      <c r="L254" s="63"/>
      <c r="M254" s="63"/>
      <c r="N254" s="3"/>
      <c r="O254" s="3"/>
      <c r="P254" s="3"/>
      <c r="R254" s="4"/>
      <c r="S254" s="5"/>
      <c r="T254" s="5"/>
    </row>
    <row r="255" spans="3:20" ht="15.75" customHeight="1">
      <c r="C255" s="1"/>
      <c r="J255" s="2"/>
      <c r="K255" s="63"/>
      <c r="L255" s="63"/>
      <c r="M255" s="63"/>
      <c r="N255" s="3"/>
      <c r="O255" s="3"/>
      <c r="P255" s="3"/>
      <c r="R255" s="4"/>
      <c r="S255" s="5"/>
      <c r="T255" s="5"/>
    </row>
    <row r="256" spans="3:20" ht="15.75" customHeight="1">
      <c r="C256" s="1"/>
      <c r="J256" s="2"/>
      <c r="K256" s="63"/>
      <c r="L256" s="63"/>
      <c r="M256" s="63"/>
      <c r="N256" s="3"/>
      <c r="O256" s="3"/>
      <c r="P256" s="3"/>
      <c r="R256" s="4"/>
      <c r="S256" s="5"/>
      <c r="T256" s="5"/>
    </row>
    <row r="257" spans="3:20" ht="15.75" customHeight="1">
      <c r="C257" s="1"/>
      <c r="J257" s="2"/>
      <c r="K257" s="63"/>
      <c r="L257" s="63"/>
      <c r="M257" s="63"/>
      <c r="N257" s="3"/>
      <c r="O257" s="3"/>
      <c r="P257" s="3"/>
      <c r="R257" s="4"/>
      <c r="S257" s="5"/>
      <c r="T257" s="5"/>
    </row>
    <row r="258" spans="3:20" ht="15.75" customHeight="1">
      <c r="C258" s="1"/>
      <c r="J258" s="2"/>
      <c r="K258" s="63"/>
      <c r="L258" s="63"/>
      <c r="M258" s="63"/>
      <c r="N258" s="3"/>
      <c r="O258" s="3"/>
      <c r="P258" s="3"/>
      <c r="R258" s="4"/>
      <c r="S258" s="5"/>
      <c r="T258" s="5"/>
    </row>
    <row r="259" spans="3:20" ht="15.75" customHeight="1">
      <c r="C259" s="1"/>
      <c r="J259" s="2"/>
      <c r="K259" s="63"/>
      <c r="L259" s="63"/>
      <c r="M259" s="63"/>
      <c r="N259" s="3"/>
      <c r="O259" s="3"/>
      <c r="P259" s="3"/>
      <c r="R259" s="4"/>
      <c r="S259" s="5"/>
      <c r="T259" s="5"/>
    </row>
    <row r="260" spans="3:20" ht="15.75" customHeight="1">
      <c r="C260" s="1"/>
      <c r="J260" s="2"/>
      <c r="K260" s="63"/>
      <c r="L260" s="63"/>
      <c r="M260" s="63"/>
      <c r="N260" s="3"/>
      <c r="O260" s="3"/>
      <c r="P260" s="3"/>
      <c r="R260" s="4"/>
      <c r="S260" s="5"/>
      <c r="T260" s="5"/>
    </row>
    <row r="261" spans="3:20" ht="15.75" customHeight="1">
      <c r="C261" s="1"/>
      <c r="J261" s="2"/>
      <c r="K261" s="63"/>
      <c r="L261" s="63"/>
      <c r="M261" s="63"/>
      <c r="N261" s="3"/>
      <c r="O261" s="3"/>
      <c r="P261" s="3"/>
      <c r="R261" s="4"/>
      <c r="S261" s="5"/>
      <c r="T261" s="5"/>
    </row>
    <row r="262" spans="3:20" ht="15.75" customHeight="1">
      <c r="C262" s="1"/>
      <c r="J262" s="2"/>
      <c r="K262" s="63"/>
      <c r="L262" s="63"/>
      <c r="M262" s="63"/>
      <c r="N262" s="3"/>
      <c r="O262" s="3"/>
      <c r="P262" s="3"/>
      <c r="R262" s="4"/>
      <c r="S262" s="5"/>
      <c r="T262" s="5"/>
    </row>
    <row r="263" spans="3:20" ht="15.75" customHeight="1">
      <c r="C263" s="1"/>
      <c r="J263" s="2"/>
      <c r="K263" s="63"/>
      <c r="L263" s="63"/>
      <c r="M263" s="63"/>
      <c r="N263" s="3"/>
      <c r="O263" s="3"/>
      <c r="P263" s="3"/>
      <c r="R263" s="4"/>
      <c r="S263" s="5"/>
      <c r="T263" s="5"/>
    </row>
    <row r="264" spans="3:20" ht="15.75" customHeight="1">
      <c r="C264" s="1"/>
      <c r="J264" s="2"/>
      <c r="K264" s="63"/>
      <c r="L264" s="63"/>
      <c r="M264" s="63"/>
      <c r="N264" s="3"/>
      <c r="O264" s="3"/>
      <c r="P264" s="3"/>
      <c r="R264" s="4"/>
      <c r="S264" s="5"/>
      <c r="T264" s="5"/>
    </row>
    <row r="265" spans="3:20" ht="15.75" customHeight="1">
      <c r="C265" s="1"/>
      <c r="J265" s="2"/>
      <c r="K265" s="63"/>
      <c r="L265" s="63"/>
      <c r="M265" s="63"/>
      <c r="N265" s="3"/>
      <c r="O265" s="3"/>
      <c r="P265" s="3"/>
      <c r="R265" s="4"/>
      <c r="S265" s="5"/>
      <c r="T265" s="5"/>
    </row>
    <row r="266" spans="3:20" ht="15.75" customHeight="1">
      <c r="C266" s="1"/>
      <c r="J266" s="2"/>
      <c r="K266" s="63"/>
      <c r="L266" s="63"/>
      <c r="M266" s="63"/>
      <c r="N266" s="3"/>
      <c r="O266" s="3"/>
      <c r="P266" s="3"/>
      <c r="R266" s="4"/>
      <c r="S266" s="5"/>
      <c r="T266" s="5"/>
    </row>
    <row r="267" spans="3:20" ht="15.75" customHeight="1">
      <c r="C267" s="1"/>
      <c r="J267" s="2"/>
      <c r="K267" s="63"/>
      <c r="L267" s="63"/>
      <c r="M267" s="63"/>
      <c r="N267" s="3"/>
      <c r="O267" s="3"/>
      <c r="P267" s="3"/>
      <c r="R267" s="4"/>
      <c r="S267" s="5"/>
      <c r="T267" s="5"/>
    </row>
    <row r="268" spans="3:20" ht="15.75" customHeight="1">
      <c r="C268" s="1"/>
      <c r="J268" s="2"/>
      <c r="K268" s="63"/>
      <c r="L268" s="63"/>
      <c r="M268" s="63"/>
      <c r="N268" s="3"/>
      <c r="O268" s="3"/>
      <c r="P268" s="3"/>
      <c r="R268" s="4"/>
      <c r="S268" s="5"/>
      <c r="T268" s="5"/>
    </row>
    <row r="269" spans="3:20" ht="15.75" customHeight="1">
      <c r="C269" s="1"/>
      <c r="J269" s="2"/>
      <c r="K269" s="63"/>
      <c r="L269" s="63"/>
      <c r="M269" s="63"/>
      <c r="N269" s="3"/>
      <c r="O269" s="3"/>
      <c r="P269" s="3"/>
      <c r="R269" s="4"/>
      <c r="S269" s="5"/>
      <c r="T269" s="5"/>
    </row>
    <row r="270" spans="3:20" ht="15.75" customHeight="1">
      <c r="C270" s="1"/>
      <c r="J270" s="2"/>
      <c r="K270" s="63"/>
      <c r="L270" s="63"/>
      <c r="M270" s="63"/>
      <c r="N270" s="3"/>
      <c r="O270" s="3"/>
      <c r="P270" s="3"/>
      <c r="R270" s="4"/>
      <c r="S270" s="5"/>
      <c r="T270" s="5"/>
    </row>
    <row r="271" spans="3:20" ht="15.75" customHeight="1">
      <c r="C271" s="1"/>
      <c r="J271" s="2"/>
      <c r="K271" s="63"/>
      <c r="L271" s="63"/>
      <c r="M271" s="63"/>
      <c r="N271" s="3"/>
      <c r="O271" s="3"/>
      <c r="P271" s="3"/>
      <c r="R271" s="4"/>
      <c r="S271" s="5"/>
      <c r="T271" s="5"/>
    </row>
    <row r="272" spans="3:20" ht="15.75" customHeight="1">
      <c r="C272" s="1"/>
      <c r="J272" s="2"/>
      <c r="K272" s="63"/>
      <c r="L272" s="63"/>
      <c r="M272" s="63"/>
      <c r="N272" s="3"/>
      <c r="O272" s="3"/>
      <c r="P272" s="3"/>
      <c r="R272" s="4"/>
      <c r="S272" s="5"/>
      <c r="T272" s="5"/>
    </row>
    <row r="273" spans="3:20" ht="15.75" customHeight="1">
      <c r="C273" s="1"/>
      <c r="J273" s="2"/>
      <c r="K273" s="63"/>
      <c r="L273" s="63"/>
      <c r="M273" s="63"/>
      <c r="N273" s="3"/>
      <c r="O273" s="3"/>
      <c r="P273" s="3"/>
      <c r="R273" s="4"/>
      <c r="S273" s="5"/>
      <c r="T273" s="5"/>
    </row>
    <row r="274" spans="3:20" ht="15.75" customHeight="1">
      <c r="C274" s="1"/>
      <c r="J274" s="2"/>
      <c r="K274" s="63"/>
      <c r="L274" s="63"/>
      <c r="M274" s="63"/>
      <c r="N274" s="3"/>
      <c r="O274" s="3"/>
      <c r="P274" s="3"/>
      <c r="R274" s="4"/>
      <c r="S274" s="5"/>
      <c r="T274" s="5"/>
    </row>
    <row r="275" spans="3:20" ht="15.75" customHeight="1">
      <c r="C275" s="1"/>
      <c r="J275" s="2"/>
      <c r="K275" s="63"/>
      <c r="L275" s="63"/>
      <c r="M275" s="63"/>
      <c r="N275" s="3"/>
      <c r="O275" s="3"/>
      <c r="P275" s="3"/>
      <c r="R275" s="4"/>
      <c r="S275" s="5"/>
      <c r="T275" s="5"/>
    </row>
    <row r="276" spans="3:20" ht="15.75" customHeight="1">
      <c r="C276" s="1"/>
      <c r="J276" s="2"/>
      <c r="K276" s="63"/>
      <c r="L276" s="63"/>
      <c r="M276" s="63"/>
      <c r="N276" s="3"/>
      <c r="O276" s="3"/>
      <c r="P276" s="3"/>
      <c r="R276" s="4"/>
      <c r="S276" s="5"/>
      <c r="T276" s="5"/>
    </row>
    <row r="277" spans="3:20" ht="15.75" customHeight="1">
      <c r="C277" s="1"/>
      <c r="J277" s="2"/>
      <c r="K277" s="63"/>
      <c r="L277" s="63"/>
      <c r="M277" s="63"/>
      <c r="N277" s="3"/>
      <c r="O277" s="3"/>
      <c r="P277" s="3"/>
      <c r="R277" s="4"/>
      <c r="S277" s="5"/>
      <c r="T277" s="5"/>
    </row>
    <row r="278" spans="3:20" ht="15.75" customHeight="1">
      <c r="C278" s="1"/>
      <c r="J278" s="2"/>
      <c r="K278" s="63"/>
      <c r="L278" s="63"/>
      <c r="M278" s="63"/>
      <c r="N278" s="3"/>
      <c r="O278" s="3"/>
      <c r="P278" s="3"/>
      <c r="R278" s="4"/>
      <c r="S278" s="5"/>
      <c r="T278" s="5"/>
    </row>
    <row r="279" spans="3:20" ht="15.75" customHeight="1">
      <c r="C279" s="1"/>
      <c r="J279" s="2"/>
      <c r="K279" s="63"/>
      <c r="L279" s="63"/>
      <c r="M279" s="63"/>
      <c r="N279" s="3"/>
      <c r="O279" s="3"/>
      <c r="P279" s="3"/>
      <c r="R279" s="4"/>
      <c r="S279" s="5"/>
      <c r="T279" s="5"/>
    </row>
    <row r="280" spans="3:20" ht="15.75" customHeight="1">
      <c r="C280" s="1"/>
      <c r="J280" s="2"/>
      <c r="K280" s="63"/>
      <c r="L280" s="63"/>
      <c r="M280" s="63"/>
      <c r="N280" s="3"/>
      <c r="O280" s="3"/>
      <c r="P280" s="3"/>
      <c r="R280" s="4"/>
      <c r="S280" s="5"/>
      <c r="T280" s="5"/>
    </row>
    <row r="281" spans="3:20" ht="15.75" customHeight="1">
      <c r="C281" s="1"/>
      <c r="J281" s="2"/>
      <c r="K281" s="63"/>
      <c r="L281" s="63"/>
      <c r="M281" s="63"/>
      <c r="N281" s="3"/>
      <c r="O281" s="3"/>
      <c r="P281" s="3"/>
      <c r="R281" s="4"/>
      <c r="S281" s="5"/>
      <c r="T281" s="5"/>
    </row>
    <row r="282" spans="3:20" ht="15.75" customHeight="1">
      <c r="C282" s="1"/>
      <c r="J282" s="2"/>
      <c r="K282" s="63"/>
      <c r="L282" s="63"/>
      <c r="M282" s="63"/>
      <c r="N282" s="3"/>
      <c r="O282" s="3"/>
      <c r="P282" s="3"/>
      <c r="R282" s="4"/>
      <c r="S282" s="5"/>
      <c r="T282" s="5"/>
    </row>
    <row r="283" spans="3:20" ht="15.75" customHeight="1">
      <c r="C283" s="1"/>
      <c r="J283" s="2"/>
      <c r="K283" s="63"/>
      <c r="L283" s="63"/>
      <c r="M283" s="63"/>
      <c r="N283" s="3"/>
      <c r="O283" s="3"/>
      <c r="P283" s="3"/>
      <c r="R283" s="4"/>
      <c r="S283" s="5"/>
      <c r="T283" s="5"/>
    </row>
    <row r="284" spans="3:20" ht="15.75" customHeight="1">
      <c r="C284" s="1"/>
      <c r="J284" s="2"/>
      <c r="K284" s="63"/>
      <c r="L284" s="63"/>
      <c r="M284" s="63"/>
      <c r="N284" s="3"/>
      <c r="O284" s="3"/>
      <c r="P284" s="3"/>
      <c r="R284" s="4"/>
      <c r="S284" s="5"/>
      <c r="T284" s="5"/>
    </row>
    <row r="285" spans="3:20" ht="15.75" customHeight="1">
      <c r="C285" s="1"/>
      <c r="J285" s="2"/>
      <c r="K285" s="63"/>
      <c r="L285" s="63"/>
      <c r="M285" s="63"/>
      <c r="N285" s="3"/>
      <c r="O285" s="3"/>
      <c r="P285" s="3"/>
      <c r="R285" s="4"/>
      <c r="S285" s="5"/>
      <c r="T285" s="5"/>
    </row>
    <row r="286" spans="3:20" ht="15.75" customHeight="1">
      <c r="C286" s="1"/>
      <c r="J286" s="2"/>
      <c r="K286" s="63"/>
      <c r="L286" s="63"/>
      <c r="M286" s="63"/>
      <c r="N286" s="3"/>
      <c r="O286" s="3"/>
      <c r="P286" s="3"/>
      <c r="R286" s="4"/>
      <c r="S286" s="5"/>
      <c r="T286" s="5"/>
    </row>
    <row r="287" spans="3:20" ht="15.75" customHeight="1">
      <c r="C287" s="1"/>
      <c r="J287" s="2"/>
      <c r="K287" s="63"/>
      <c r="L287" s="63"/>
      <c r="M287" s="63"/>
      <c r="N287" s="3"/>
      <c r="O287" s="3"/>
      <c r="P287" s="3"/>
      <c r="R287" s="4"/>
      <c r="S287" s="5"/>
      <c r="T287" s="5"/>
    </row>
    <row r="288" spans="3:20" ht="15.75" customHeight="1">
      <c r="C288" s="1"/>
      <c r="J288" s="2"/>
      <c r="K288" s="63"/>
      <c r="L288" s="63"/>
      <c r="M288" s="63"/>
      <c r="N288" s="3"/>
      <c r="O288" s="3"/>
      <c r="P288" s="3"/>
      <c r="R288" s="4"/>
      <c r="S288" s="5"/>
      <c r="T288" s="5"/>
    </row>
    <row r="289" spans="3:20" ht="15.75" customHeight="1">
      <c r="C289" s="1"/>
      <c r="J289" s="2"/>
      <c r="K289" s="63"/>
      <c r="L289" s="63"/>
      <c r="M289" s="63"/>
      <c r="N289" s="3"/>
      <c r="O289" s="3"/>
      <c r="P289" s="3"/>
      <c r="R289" s="4"/>
      <c r="S289" s="5"/>
      <c r="T289" s="5"/>
    </row>
    <row r="290" spans="3:20" ht="15.75" customHeight="1">
      <c r="C290" s="1"/>
      <c r="J290" s="2"/>
      <c r="K290" s="63"/>
      <c r="L290" s="63"/>
      <c r="M290" s="63"/>
      <c r="N290" s="3"/>
      <c r="O290" s="3"/>
      <c r="P290" s="3"/>
      <c r="R290" s="4"/>
      <c r="S290" s="5"/>
      <c r="T290" s="5"/>
    </row>
    <row r="291" spans="3:20" ht="15.75" customHeight="1">
      <c r="C291" s="1"/>
      <c r="J291" s="2"/>
      <c r="K291" s="63"/>
      <c r="L291" s="63"/>
      <c r="M291" s="63"/>
      <c r="N291" s="3"/>
      <c r="O291" s="3"/>
      <c r="P291" s="3"/>
      <c r="R291" s="4"/>
      <c r="S291" s="5"/>
      <c r="T291" s="5"/>
    </row>
    <row r="292" spans="3:20" ht="15.75" customHeight="1">
      <c r="C292" s="1"/>
      <c r="J292" s="2"/>
      <c r="K292" s="63"/>
      <c r="L292" s="63"/>
      <c r="M292" s="63"/>
      <c r="N292" s="3"/>
      <c r="O292" s="3"/>
      <c r="P292" s="3"/>
      <c r="R292" s="4"/>
      <c r="S292" s="5"/>
      <c r="T292" s="5"/>
    </row>
    <row r="293" spans="3:20" ht="15.75" customHeight="1">
      <c r="C293" s="1"/>
      <c r="J293" s="2"/>
      <c r="K293" s="63"/>
      <c r="L293" s="63"/>
      <c r="M293" s="63"/>
      <c r="N293" s="3"/>
      <c r="O293" s="3"/>
      <c r="P293" s="3"/>
      <c r="R293" s="4"/>
      <c r="S293" s="5"/>
      <c r="T293" s="5"/>
    </row>
    <row r="294" spans="3:20" ht="15.75" customHeight="1">
      <c r="C294" s="1"/>
      <c r="J294" s="2"/>
      <c r="K294" s="63"/>
      <c r="L294" s="63"/>
      <c r="M294" s="63"/>
      <c r="N294" s="3"/>
      <c r="O294" s="3"/>
      <c r="P294" s="3"/>
      <c r="R294" s="4"/>
      <c r="S294" s="5"/>
      <c r="T294" s="5"/>
    </row>
    <row r="295" spans="3:20" ht="15.75" customHeight="1">
      <c r="C295" s="1"/>
      <c r="J295" s="2"/>
      <c r="K295" s="63"/>
      <c r="L295" s="63"/>
      <c r="M295" s="63"/>
      <c r="N295" s="3"/>
      <c r="O295" s="3"/>
      <c r="P295" s="3"/>
      <c r="R295" s="4"/>
      <c r="S295" s="5"/>
      <c r="T295" s="5"/>
    </row>
    <row r="296" spans="3:20" ht="15.75" customHeight="1">
      <c r="C296" s="1"/>
      <c r="J296" s="2"/>
      <c r="K296" s="63"/>
      <c r="L296" s="63"/>
      <c r="M296" s="63"/>
      <c r="N296" s="3"/>
      <c r="O296" s="3"/>
      <c r="P296" s="3"/>
      <c r="R296" s="4"/>
      <c r="S296" s="5"/>
      <c r="T296" s="5"/>
    </row>
    <row r="297" spans="3:20" ht="15.75" customHeight="1">
      <c r="C297" s="1"/>
      <c r="J297" s="2"/>
      <c r="K297" s="63"/>
      <c r="L297" s="63"/>
      <c r="M297" s="63"/>
      <c r="N297" s="3"/>
      <c r="O297" s="3"/>
      <c r="P297" s="3"/>
      <c r="R297" s="4"/>
      <c r="S297" s="5"/>
      <c r="T297" s="5"/>
    </row>
    <row r="298" spans="3:20" ht="15.75" customHeight="1">
      <c r="C298" s="1"/>
      <c r="J298" s="2"/>
      <c r="K298" s="63"/>
      <c r="L298" s="63"/>
      <c r="M298" s="63"/>
      <c r="N298" s="3"/>
      <c r="O298" s="3"/>
      <c r="P298" s="3"/>
      <c r="R298" s="4"/>
      <c r="S298" s="5"/>
      <c r="T298" s="5"/>
    </row>
    <row r="299" spans="3:20" ht="15.75" customHeight="1">
      <c r="C299" s="1"/>
      <c r="J299" s="2"/>
      <c r="K299" s="63"/>
      <c r="L299" s="63"/>
      <c r="M299" s="63"/>
      <c r="N299" s="3"/>
      <c r="O299" s="3"/>
      <c r="P299" s="3"/>
      <c r="R299" s="4"/>
      <c r="S299" s="5"/>
      <c r="T299" s="5"/>
    </row>
    <row r="300" spans="3:20" ht="15.75" customHeight="1">
      <c r="C300" s="1"/>
      <c r="J300" s="2"/>
      <c r="K300" s="63"/>
      <c r="L300" s="63"/>
      <c r="M300" s="63"/>
      <c r="N300" s="3"/>
      <c r="O300" s="3"/>
      <c r="P300" s="3"/>
      <c r="R300" s="4"/>
      <c r="S300" s="5"/>
      <c r="T300" s="5"/>
    </row>
    <row r="301" spans="3:20" ht="15.75" customHeight="1">
      <c r="C301" s="1"/>
      <c r="J301" s="2"/>
      <c r="K301" s="63"/>
      <c r="L301" s="63"/>
      <c r="M301" s="63"/>
      <c r="N301" s="3"/>
      <c r="O301" s="3"/>
      <c r="P301" s="3"/>
      <c r="R301" s="4"/>
      <c r="S301" s="5"/>
      <c r="T301" s="5"/>
    </row>
    <row r="302" spans="3:20" ht="15.75" customHeight="1">
      <c r="C302" s="1"/>
      <c r="J302" s="2"/>
      <c r="K302" s="63"/>
      <c r="L302" s="63"/>
      <c r="M302" s="63"/>
      <c r="N302" s="3"/>
      <c r="O302" s="3"/>
      <c r="P302" s="3"/>
      <c r="R302" s="4"/>
      <c r="S302" s="5"/>
      <c r="T302" s="5"/>
    </row>
    <row r="303" spans="3:20" ht="15.75" customHeight="1">
      <c r="C303" s="1"/>
      <c r="J303" s="2"/>
      <c r="K303" s="63"/>
      <c r="L303" s="63"/>
      <c r="M303" s="63"/>
      <c r="N303" s="3"/>
      <c r="O303" s="3"/>
      <c r="P303" s="3"/>
      <c r="R303" s="4"/>
      <c r="S303" s="5"/>
      <c r="T303" s="5"/>
    </row>
    <row r="304" spans="3:20" ht="15.75" customHeight="1">
      <c r="C304" s="1"/>
      <c r="J304" s="2"/>
      <c r="K304" s="63"/>
      <c r="L304" s="63"/>
      <c r="M304" s="63"/>
      <c r="N304" s="3"/>
      <c r="O304" s="3"/>
      <c r="P304" s="3"/>
      <c r="R304" s="4"/>
      <c r="S304" s="5"/>
      <c r="T304" s="5"/>
    </row>
    <row r="305" spans="3:20" ht="15.75" customHeight="1">
      <c r="C305" s="1"/>
      <c r="J305" s="2"/>
      <c r="K305" s="63"/>
      <c r="L305" s="63"/>
      <c r="M305" s="63"/>
      <c r="N305" s="3"/>
      <c r="O305" s="3"/>
      <c r="P305" s="3"/>
      <c r="R305" s="4"/>
      <c r="S305" s="5"/>
      <c r="T305" s="5"/>
    </row>
    <row r="306" spans="3:20" ht="15.75" customHeight="1">
      <c r="C306" s="1"/>
      <c r="J306" s="2"/>
      <c r="K306" s="63"/>
      <c r="L306" s="63"/>
      <c r="M306" s="63"/>
      <c r="N306" s="3"/>
      <c r="O306" s="3"/>
      <c r="P306" s="3"/>
      <c r="R306" s="4"/>
      <c r="S306" s="5"/>
      <c r="T306" s="5"/>
    </row>
    <row r="307" spans="3:20" ht="15.75" customHeight="1">
      <c r="C307" s="1"/>
      <c r="J307" s="2"/>
      <c r="K307" s="63"/>
      <c r="L307" s="63"/>
      <c r="M307" s="63"/>
      <c r="N307" s="3"/>
      <c r="O307" s="3"/>
      <c r="P307" s="3"/>
      <c r="R307" s="4"/>
      <c r="S307" s="5"/>
      <c r="T307" s="5"/>
    </row>
    <row r="308" spans="3:20" ht="15.75" customHeight="1">
      <c r="C308" s="1"/>
      <c r="J308" s="2"/>
      <c r="K308" s="63"/>
      <c r="L308" s="63"/>
      <c r="M308" s="63"/>
      <c r="N308" s="3"/>
      <c r="O308" s="3"/>
      <c r="P308" s="3"/>
      <c r="R308" s="4"/>
      <c r="S308" s="5"/>
      <c r="T308" s="5"/>
    </row>
    <row r="309" spans="3:20" ht="15.75" customHeight="1">
      <c r="C309" s="1"/>
      <c r="J309" s="2"/>
      <c r="K309" s="63"/>
      <c r="L309" s="63"/>
      <c r="M309" s="63"/>
      <c r="N309" s="3"/>
      <c r="O309" s="3"/>
      <c r="P309" s="3"/>
      <c r="R309" s="4"/>
      <c r="S309" s="5"/>
      <c r="T309" s="5"/>
    </row>
    <row r="310" spans="3:20" ht="15.75" customHeight="1">
      <c r="C310" s="1"/>
      <c r="J310" s="2"/>
      <c r="K310" s="63"/>
      <c r="L310" s="63"/>
      <c r="M310" s="63"/>
      <c r="N310" s="3"/>
      <c r="O310" s="3"/>
      <c r="P310" s="3"/>
      <c r="R310" s="4"/>
      <c r="S310" s="5"/>
      <c r="T310" s="5"/>
    </row>
    <row r="311" spans="3:20" ht="15.75" customHeight="1">
      <c r="C311" s="1"/>
      <c r="J311" s="2"/>
      <c r="K311" s="63"/>
      <c r="L311" s="63"/>
      <c r="M311" s="63"/>
      <c r="N311" s="3"/>
      <c r="O311" s="3"/>
      <c r="P311" s="3"/>
      <c r="R311" s="4"/>
      <c r="S311" s="5"/>
      <c r="T311" s="5"/>
    </row>
    <row r="312" spans="3:20" ht="15.75" customHeight="1">
      <c r="C312" s="1"/>
      <c r="J312" s="2"/>
      <c r="K312" s="63"/>
      <c r="L312" s="63"/>
      <c r="M312" s="63"/>
      <c r="N312" s="3"/>
      <c r="O312" s="3"/>
      <c r="P312" s="3"/>
      <c r="R312" s="4"/>
      <c r="S312" s="5"/>
      <c r="T312" s="5"/>
    </row>
    <row r="313" spans="3:20" ht="15.75" customHeight="1">
      <c r="C313" s="1"/>
      <c r="J313" s="2"/>
      <c r="K313" s="63"/>
      <c r="L313" s="63"/>
      <c r="M313" s="63"/>
      <c r="N313" s="3"/>
      <c r="O313" s="3"/>
      <c r="P313" s="3"/>
      <c r="R313" s="4"/>
      <c r="S313" s="5"/>
      <c r="T313" s="5"/>
    </row>
    <row r="314" spans="3:20" ht="15.75" customHeight="1">
      <c r="C314" s="1"/>
      <c r="J314" s="2"/>
      <c r="K314" s="63"/>
      <c r="L314" s="63"/>
      <c r="M314" s="63"/>
      <c r="N314" s="3"/>
      <c r="O314" s="3"/>
      <c r="P314" s="3"/>
      <c r="R314" s="4"/>
      <c r="S314" s="5"/>
      <c r="T314" s="5"/>
    </row>
    <row r="315" spans="3:20" ht="15.75" customHeight="1">
      <c r="C315" s="1"/>
      <c r="J315" s="2"/>
      <c r="K315" s="63"/>
      <c r="L315" s="63"/>
      <c r="M315" s="63"/>
      <c r="N315" s="3"/>
      <c r="O315" s="3"/>
      <c r="P315" s="3"/>
      <c r="R315" s="4"/>
      <c r="S315" s="5"/>
      <c r="T315" s="5"/>
    </row>
    <row r="316" spans="3:20" ht="15.75" customHeight="1">
      <c r="C316" s="1"/>
      <c r="J316" s="2"/>
      <c r="K316" s="63"/>
      <c r="L316" s="63"/>
      <c r="M316" s="63"/>
      <c r="N316" s="3"/>
      <c r="O316" s="3"/>
      <c r="P316" s="3"/>
      <c r="R316" s="4"/>
      <c r="S316" s="5"/>
      <c r="T316" s="5"/>
    </row>
    <row r="317" spans="3:20" ht="15.75" customHeight="1">
      <c r="C317" s="1"/>
      <c r="J317" s="2"/>
      <c r="K317" s="63"/>
      <c r="L317" s="63"/>
      <c r="M317" s="63"/>
      <c r="N317" s="3"/>
      <c r="O317" s="3"/>
      <c r="P317" s="3"/>
      <c r="R317" s="4"/>
      <c r="S317" s="5"/>
      <c r="T317" s="5"/>
    </row>
    <row r="318" spans="3:20" ht="15.75" customHeight="1">
      <c r="C318" s="1"/>
      <c r="J318" s="2"/>
      <c r="K318" s="63"/>
      <c r="L318" s="63"/>
      <c r="M318" s="63"/>
      <c r="N318" s="3"/>
      <c r="O318" s="3"/>
      <c r="P318" s="3"/>
      <c r="R318" s="4"/>
      <c r="S318" s="5"/>
      <c r="T318" s="5"/>
    </row>
    <row r="319" spans="3:20" ht="15.75" customHeight="1">
      <c r="C319" s="1"/>
      <c r="J319" s="2"/>
      <c r="K319" s="63"/>
      <c r="L319" s="63"/>
      <c r="M319" s="63"/>
      <c r="N319" s="3"/>
      <c r="O319" s="3"/>
      <c r="P319" s="3"/>
      <c r="R319" s="4"/>
      <c r="S319" s="5"/>
      <c r="T319" s="5"/>
    </row>
    <row r="320" spans="3:20" ht="15.75" customHeight="1">
      <c r="C320" s="1"/>
      <c r="J320" s="2"/>
      <c r="K320" s="63"/>
      <c r="L320" s="63"/>
      <c r="M320" s="63"/>
      <c r="N320" s="3"/>
      <c r="O320" s="3"/>
      <c r="P320" s="3"/>
      <c r="R320" s="4"/>
      <c r="S320" s="5"/>
      <c r="T320" s="5"/>
    </row>
    <row r="321" spans="3:20" ht="15.75" customHeight="1">
      <c r="C321" s="1"/>
      <c r="J321" s="2"/>
      <c r="K321" s="63"/>
      <c r="L321" s="63"/>
      <c r="M321" s="63"/>
      <c r="N321" s="3"/>
      <c r="O321" s="3"/>
      <c r="P321" s="3"/>
      <c r="R321" s="4"/>
      <c r="S321" s="5"/>
      <c r="T321" s="5"/>
    </row>
    <row r="322" spans="3:20" ht="15.75" customHeight="1">
      <c r="C322" s="1"/>
      <c r="J322" s="2"/>
      <c r="K322" s="63"/>
      <c r="L322" s="63"/>
      <c r="M322" s="63"/>
      <c r="N322" s="3"/>
      <c r="O322" s="3"/>
      <c r="P322" s="3"/>
      <c r="R322" s="4"/>
      <c r="S322" s="5"/>
      <c r="T322" s="5"/>
    </row>
    <row r="323" spans="3:20" ht="15.75" customHeight="1">
      <c r="C323" s="1"/>
      <c r="J323" s="2"/>
      <c r="K323" s="63"/>
      <c r="L323" s="63"/>
      <c r="M323" s="63"/>
      <c r="N323" s="3"/>
      <c r="O323" s="3"/>
      <c r="P323" s="3"/>
      <c r="R323" s="4"/>
      <c r="S323" s="5"/>
      <c r="T323" s="5"/>
    </row>
    <row r="324" spans="3:20" ht="15.75" customHeight="1">
      <c r="C324" s="1"/>
      <c r="J324" s="2"/>
      <c r="K324" s="63"/>
      <c r="L324" s="63"/>
      <c r="M324" s="63"/>
      <c r="N324" s="3"/>
      <c r="O324" s="3"/>
      <c r="P324" s="3"/>
      <c r="R324" s="4"/>
      <c r="S324" s="5"/>
      <c r="T324" s="5"/>
    </row>
    <row r="325" spans="3:20" ht="15.75" customHeight="1">
      <c r="C325" s="1"/>
      <c r="J325" s="2"/>
      <c r="K325" s="63"/>
      <c r="L325" s="63"/>
      <c r="M325" s="63"/>
      <c r="N325" s="3"/>
      <c r="O325" s="3"/>
      <c r="P325" s="3"/>
      <c r="R325" s="4"/>
      <c r="S325" s="5"/>
      <c r="T325" s="5"/>
    </row>
    <row r="326" spans="3:20" ht="15.75" customHeight="1">
      <c r="C326" s="1"/>
      <c r="J326" s="2"/>
      <c r="K326" s="63"/>
      <c r="L326" s="63"/>
      <c r="M326" s="63"/>
      <c r="N326" s="3"/>
      <c r="O326" s="3"/>
      <c r="P326" s="3"/>
      <c r="R326" s="4"/>
      <c r="S326" s="5"/>
      <c r="T326" s="5"/>
    </row>
    <row r="327" spans="3:20" ht="15.75" customHeight="1">
      <c r="C327" s="1"/>
      <c r="J327" s="2"/>
      <c r="K327" s="63"/>
      <c r="L327" s="63"/>
      <c r="M327" s="63"/>
      <c r="N327" s="3"/>
      <c r="O327" s="3"/>
      <c r="P327" s="3"/>
      <c r="R327" s="4"/>
      <c r="S327" s="5"/>
      <c r="T327" s="5"/>
    </row>
    <row r="328" spans="3:20" ht="15.75" customHeight="1">
      <c r="C328" s="1"/>
      <c r="J328" s="2"/>
      <c r="K328" s="63"/>
      <c r="L328" s="63"/>
      <c r="M328" s="63"/>
      <c r="N328" s="3"/>
      <c r="O328" s="3"/>
      <c r="P328" s="3"/>
      <c r="R328" s="4"/>
      <c r="S328" s="5"/>
      <c r="T328" s="5"/>
    </row>
    <row r="329" spans="3:20" ht="15.75" customHeight="1">
      <c r="C329" s="1"/>
      <c r="J329" s="2"/>
      <c r="K329" s="63"/>
      <c r="L329" s="63"/>
      <c r="M329" s="63"/>
      <c r="N329" s="3"/>
      <c r="O329" s="3"/>
      <c r="P329" s="3"/>
      <c r="R329" s="4"/>
      <c r="S329" s="5"/>
      <c r="T329" s="5"/>
    </row>
    <row r="330" spans="3:20" ht="15.75" customHeight="1">
      <c r="C330" s="1"/>
      <c r="J330" s="2"/>
      <c r="K330" s="63"/>
      <c r="L330" s="63"/>
      <c r="M330" s="63"/>
      <c r="N330" s="3"/>
      <c r="O330" s="3"/>
      <c r="P330" s="3"/>
      <c r="R330" s="4"/>
      <c r="S330" s="5"/>
      <c r="T330" s="5"/>
    </row>
    <row r="331" spans="3:20" ht="15.75" customHeight="1">
      <c r="C331" s="1"/>
      <c r="J331" s="2"/>
      <c r="K331" s="63"/>
      <c r="L331" s="63"/>
      <c r="M331" s="63"/>
      <c r="N331" s="3"/>
      <c r="O331" s="3"/>
      <c r="P331" s="3"/>
      <c r="R331" s="4"/>
      <c r="S331" s="5"/>
      <c r="T331" s="5"/>
    </row>
    <row r="332" spans="3:20" ht="15.75" customHeight="1">
      <c r="C332" s="1"/>
      <c r="J332" s="2"/>
      <c r="K332" s="63"/>
      <c r="L332" s="63"/>
      <c r="M332" s="63"/>
      <c r="N332" s="3"/>
      <c r="O332" s="3"/>
      <c r="P332" s="3"/>
      <c r="R332" s="4"/>
      <c r="S332" s="5"/>
      <c r="T332" s="5"/>
    </row>
    <row r="333" spans="3:20" ht="15.75" customHeight="1">
      <c r="C333" s="1"/>
      <c r="J333" s="2"/>
      <c r="K333" s="63"/>
      <c r="L333" s="63"/>
      <c r="M333" s="63"/>
      <c r="N333" s="3"/>
      <c r="O333" s="3"/>
      <c r="P333" s="3"/>
      <c r="R333" s="4"/>
      <c r="S333" s="5"/>
      <c r="T333" s="5"/>
    </row>
    <row r="334" spans="3:20" ht="15.75" customHeight="1">
      <c r="C334" s="1"/>
      <c r="J334" s="2"/>
      <c r="K334" s="63"/>
      <c r="L334" s="63"/>
      <c r="M334" s="63"/>
      <c r="N334" s="3"/>
      <c r="O334" s="3"/>
      <c r="P334" s="3"/>
      <c r="R334" s="4"/>
      <c r="S334" s="5"/>
      <c r="T334" s="5"/>
    </row>
    <row r="335" spans="3:20" ht="15.75" customHeight="1">
      <c r="C335" s="1"/>
      <c r="J335" s="2"/>
      <c r="K335" s="63"/>
      <c r="L335" s="63"/>
      <c r="M335" s="63"/>
      <c r="N335" s="3"/>
      <c r="O335" s="3"/>
      <c r="P335" s="3"/>
      <c r="R335" s="4"/>
      <c r="S335" s="5"/>
      <c r="T335" s="5"/>
    </row>
    <row r="336" spans="3:20" ht="15.75" customHeight="1">
      <c r="C336" s="1"/>
      <c r="J336" s="2"/>
      <c r="K336" s="63"/>
      <c r="L336" s="63"/>
      <c r="M336" s="63"/>
      <c r="N336" s="3"/>
      <c r="O336" s="3"/>
      <c r="P336" s="3"/>
      <c r="R336" s="4"/>
      <c r="S336" s="5"/>
      <c r="T336" s="5"/>
    </row>
    <row r="337" spans="3:20" ht="15.75" customHeight="1">
      <c r="C337" s="1"/>
      <c r="J337" s="2"/>
      <c r="K337" s="63"/>
      <c r="L337" s="63"/>
      <c r="M337" s="63"/>
      <c r="N337" s="3"/>
      <c r="O337" s="3"/>
      <c r="P337" s="3"/>
      <c r="R337" s="4"/>
      <c r="S337" s="5"/>
      <c r="T337" s="5"/>
    </row>
    <row r="338" spans="3:20" ht="15.75" customHeight="1">
      <c r="C338" s="1"/>
      <c r="J338" s="2"/>
      <c r="K338" s="63"/>
      <c r="L338" s="63"/>
      <c r="M338" s="63"/>
      <c r="N338" s="3"/>
      <c r="O338" s="3"/>
      <c r="P338" s="3"/>
      <c r="R338" s="4"/>
      <c r="S338" s="5"/>
      <c r="T338" s="5"/>
    </row>
    <row r="339" spans="3:20" ht="15.75" customHeight="1">
      <c r="C339" s="1"/>
      <c r="J339" s="2"/>
      <c r="K339" s="63"/>
      <c r="L339" s="63"/>
      <c r="M339" s="63"/>
      <c r="N339" s="3"/>
      <c r="O339" s="3"/>
      <c r="P339" s="3"/>
      <c r="R339" s="4"/>
      <c r="S339" s="5"/>
      <c r="T339" s="5"/>
    </row>
    <row r="340" spans="3:20" ht="15.75" customHeight="1">
      <c r="C340" s="1"/>
      <c r="J340" s="2"/>
      <c r="K340" s="63"/>
      <c r="L340" s="63"/>
      <c r="M340" s="63"/>
      <c r="N340" s="3"/>
      <c r="O340" s="3"/>
      <c r="P340" s="3"/>
      <c r="R340" s="4"/>
      <c r="S340" s="5"/>
      <c r="T340" s="5"/>
    </row>
    <row r="341" spans="3:20" ht="15.75" customHeight="1">
      <c r="C341" s="1"/>
      <c r="J341" s="2"/>
      <c r="K341" s="63"/>
      <c r="L341" s="63"/>
      <c r="M341" s="63"/>
      <c r="N341" s="3"/>
      <c r="O341" s="3"/>
      <c r="P341" s="3"/>
      <c r="R341" s="4"/>
      <c r="S341" s="5"/>
      <c r="T341" s="5"/>
    </row>
    <row r="342" spans="3:20" ht="15.75" customHeight="1">
      <c r="C342" s="1"/>
      <c r="J342" s="2"/>
      <c r="K342" s="63"/>
      <c r="L342" s="63"/>
      <c r="M342" s="63"/>
      <c r="N342" s="3"/>
      <c r="O342" s="3"/>
      <c r="P342" s="3"/>
      <c r="R342" s="4"/>
      <c r="S342" s="5"/>
      <c r="T342" s="5"/>
    </row>
    <row r="343" spans="3:20" ht="15.75" customHeight="1">
      <c r="C343" s="1"/>
      <c r="J343" s="2"/>
      <c r="K343" s="63"/>
      <c r="L343" s="63"/>
      <c r="M343" s="63"/>
      <c r="N343" s="3"/>
      <c r="O343" s="3"/>
      <c r="P343" s="3"/>
      <c r="R343" s="4"/>
      <c r="S343" s="5"/>
      <c r="T343" s="5"/>
    </row>
    <row r="344" spans="3:20" ht="15.75" customHeight="1">
      <c r="C344" s="1"/>
      <c r="J344" s="2"/>
      <c r="K344" s="63"/>
      <c r="L344" s="63"/>
      <c r="M344" s="63"/>
      <c r="N344" s="3"/>
      <c r="O344" s="3"/>
      <c r="P344" s="3"/>
      <c r="R344" s="4"/>
      <c r="S344" s="5"/>
      <c r="T344" s="5"/>
    </row>
    <row r="345" spans="3:20" ht="15.75" customHeight="1">
      <c r="C345" s="1"/>
      <c r="J345" s="2"/>
      <c r="K345" s="63"/>
      <c r="L345" s="63"/>
      <c r="M345" s="63"/>
      <c r="N345" s="3"/>
      <c r="O345" s="3"/>
      <c r="P345" s="3"/>
      <c r="R345" s="4"/>
      <c r="S345" s="5"/>
      <c r="T345" s="5"/>
    </row>
    <row r="346" spans="3:20" ht="15.75" customHeight="1">
      <c r="C346" s="1"/>
      <c r="J346" s="2"/>
      <c r="K346" s="63"/>
      <c r="L346" s="63"/>
      <c r="M346" s="63"/>
      <c r="N346" s="3"/>
      <c r="O346" s="3"/>
      <c r="P346" s="3"/>
      <c r="R346" s="4"/>
      <c r="S346" s="5"/>
      <c r="T346" s="5"/>
    </row>
    <row r="347" spans="3:20" ht="15.75" customHeight="1">
      <c r="C347" s="1"/>
      <c r="J347" s="2"/>
      <c r="K347" s="63"/>
      <c r="L347" s="63"/>
      <c r="M347" s="63"/>
      <c r="N347" s="3"/>
      <c r="O347" s="3"/>
      <c r="P347" s="3"/>
      <c r="R347" s="4"/>
      <c r="S347" s="5"/>
      <c r="T347" s="5"/>
    </row>
    <row r="348" spans="3:20" ht="15.75" customHeight="1">
      <c r="C348" s="1"/>
      <c r="J348" s="2"/>
      <c r="K348" s="63"/>
      <c r="L348" s="63"/>
      <c r="M348" s="63"/>
      <c r="N348" s="3"/>
      <c r="O348" s="3"/>
      <c r="P348" s="3"/>
      <c r="R348" s="4"/>
      <c r="S348" s="5"/>
      <c r="T348" s="5"/>
    </row>
    <row r="349" spans="3:20" ht="15.75" customHeight="1">
      <c r="C349" s="1"/>
      <c r="J349" s="2"/>
      <c r="K349" s="63"/>
      <c r="L349" s="63"/>
      <c r="M349" s="63"/>
      <c r="N349" s="3"/>
      <c r="O349" s="3"/>
      <c r="P349" s="3"/>
      <c r="R349" s="4"/>
      <c r="S349" s="5"/>
      <c r="T349" s="5"/>
    </row>
    <row r="350" spans="3:20" ht="15.75" customHeight="1">
      <c r="C350" s="1"/>
      <c r="J350" s="2"/>
      <c r="K350" s="63"/>
      <c r="L350" s="63"/>
      <c r="M350" s="63"/>
      <c r="N350" s="3"/>
      <c r="O350" s="3"/>
      <c r="P350" s="3"/>
      <c r="R350" s="4"/>
      <c r="S350" s="5"/>
      <c r="T350" s="5"/>
    </row>
    <row r="351" spans="3:20" ht="15.75" customHeight="1">
      <c r="C351" s="1"/>
      <c r="J351" s="2"/>
      <c r="K351" s="63"/>
      <c r="L351" s="63"/>
      <c r="M351" s="63"/>
      <c r="N351" s="3"/>
      <c r="O351" s="3"/>
      <c r="P351" s="3"/>
      <c r="R351" s="4"/>
      <c r="S351" s="5"/>
      <c r="T351" s="5"/>
    </row>
    <row r="352" spans="3:20" ht="15.75" customHeight="1">
      <c r="C352" s="1"/>
      <c r="J352" s="2"/>
      <c r="K352" s="63"/>
      <c r="L352" s="63"/>
      <c r="M352" s="63"/>
      <c r="N352" s="3"/>
      <c r="O352" s="3"/>
      <c r="P352" s="3"/>
      <c r="R352" s="4"/>
      <c r="S352" s="5"/>
      <c r="T352" s="5"/>
    </row>
    <row r="353" spans="3:20" ht="15.75" customHeight="1">
      <c r="C353" s="1"/>
      <c r="J353" s="2"/>
      <c r="K353" s="63"/>
      <c r="L353" s="63"/>
      <c r="M353" s="63"/>
      <c r="N353" s="3"/>
      <c r="O353" s="3"/>
      <c r="P353" s="3"/>
      <c r="R353" s="4"/>
      <c r="S353" s="5"/>
      <c r="T353" s="5"/>
    </row>
    <row r="354" spans="3:20" ht="15.75" customHeight="1">
      <c r="C354" s="1"/>
      <c r="J354" s="2"/>
      <c r="K354" s="63"/>
      <c r="L354" s="63"/>
      <c r="M354" s="63"/>
      <c r="N354" s="3"/>
      <c r="O354" s="3"/>
      <c r="P354" s="3"/>
      <c r="R354" s="4"/>
      <c r="S354" s="5"/>
      <c r="T354" s="5"/>
    </row>
    <row r="355" spans="3:20" ht="15.75" customHeight="1">
      <c r="C355" s="1"/>
      <c r="J355" s="2"/>
      <c r="K355" s="63"/>
      <c r="L355" s="63"/>
      <c r="M355" s="63"/>
      <c r="N355" s="3"/>
      <c r="O355" s="3"/>
      <c r="P355" s="3"/>
      <c r="R355" s="4"/>
      <c r="S355" s="5"/>
      <c r="T355" s="5"/>
    </row>
    <row r="356" spans="3:20" ht="15.75" customHeight="1">
      <c r="C356" s="1"/>
      <c r="J356" s="2"/>
      <c r="K356" s="63"/>
      <c r="L356" s="63"/>
      <c r="M356" s="63"/>
      <c r="N356" s="3"/>
      <c r="O356" s="3"/>
      <c r="P356" s="3"/>
      <c r="R356" s="4"/>
      <c r="S356" s="5"/>
      <c r="T356" s="5"/>
    </row>
    <row r="357" spans="3:20" ht="15.75" customHeight="1">
      <c r="C357" s="1"/>
      <c r="J357" s="2"/>
      <c r="K357" s="63"/>
      <c r="L357" s="63"/>
      <c r="M357" s="63"/>
      <c r="N357" s="3"/>
      <c r="O357" s="3"/>
      <c r="P357" s="3"/>
      <c r="R357" s="4"/>
      <c r="S357" s="5"/>
      <c r="T357" s="5"/>
    </row>
    <row r="358" spans="3:20" ht="15.75" customHeight="1">
      <c r="C358" s="1"/>
      <c r="J358" s="2"/>
      <c r="K358" s="63"/>
      <c r="L358" s="63"/>
      <c r="M358" s="63"/>
      <c r="N358" s="3"/>
      <c r="O358" s="3"/>
      <c r="P358" s="3"/>
      <c r="R358" s="4"/>
      <c r="S358" s="5"/>
      <c r="T358" s="5"/>
    </row>
    <row r="359" spans="3:20" ht="15.75" customHeight="1">
      <c r="C359" s="1"/>
      <c r="J359" s="2"/>
      <c r="K359" s="63"/>
      <c r="L359" s="63"/>
      <c r="M359" s="63"/>
      <c r="N359" s="3"/>
      <c r="O359" s="3"/>
      <c r="P359" s="3"/>
      <c r="R359" s="4"/>
      <c r="S359" s="5"/>
      <c r="T359" s="5"/>
    </row>
    <row r="360" spans="3:20" ht="15.75" customHeight="1">
      <c r="C360" s="1"/>
      <c r="J360" s="2"/>
      <c r="K360" s="63"/>
      <c r="L360" s="63"/>
      <c r="M360" s="63"/>
      <c r="N360" s="3"/>
      <c r="O360" s="3"/>
      <c r="P360" s="3"/>
      <c r="R360" s="4"/>
      <c r="S360" s="5"/>
      <c r="T360" s="5"/>
    </row>
    <row r="361" spans="3:20" ht="15.75" customHeight="1">
      <c r="C361" s="1"/>
      <c r="J361" s="2"/>
      <c r="K361" s="63"/>
      <c r="L361" s="63"/>
      <c r="M361" s="63"/>
      <c r="N361" s="3"/>
      <c r="O361" s="3"/>
      <c r="P361" s="3"/>
      <c r="R361" s="4"/>
      <c r="S361" s="5"/>
      <c r="T361" s="5"/>
    </row>
    <row r="362" spans="3:20" ht="15.75" customHeight="1">
      <c r="C362" s="1"/>
      <c r="J362" s="2"/>
      <c r="K362" s="63"/>
      <c r="L362" s="63"/>
      <c r="M362" s="63"/>
      <c r="N362" s="3"/>
      <c r="O362" s="3"/>
      <c r="P362" s="3"/>
      <c r="R362" s="4"/>
      <c r="S362" s="5"/>
      <c r="T362" s="5"/>
    </row>
    <row r="363" spans="3:20" ht="15.75" customHeight="1">
      <c r="C363" s="1"/>
      <c r="J363" s="2"/>
      <c r="K363" s="63"/>
      <c r="L363" s="63"/>
      <c r="M363" s="63"/>
      <c r="N363" s="3"/>
      <c r="O363" s="3"/>
      <c r="P363" s="3"/>
      <c r="R363" s="4"/>
      <c r="S363" s="5"/>
      <c r="T363" s="5"/>
    </row>
    <row r="364" spans="3:20" ht="15.75" customHeight="1">
      <c r="C364" s="1"/>
      <c r="J364" s="2"/>
      <c r="K364" s="63"/>
      <c r="L364" s="63"/>
      <c r="M364" s="63"/>
      <c r="N364" s="3"/>
      <c r="O364" s="3"/>
      <c r="P364" s="3"/>
      <c r="R364" s="4"/>
      <c r="S364" s="5"/>
      <c r="T364" s="5"/>
    </row>
    <row r="365" spans="3:20" ht="15.75" customHeight="1">
      <c r="C365" s="1"/>
      <c r="J365" s="2"/>
      <c r="K365" s="63"/>
      <c r="L365" s="63"/>
      <c r="M365" s="63"/>
      <c r="N365" s="3"/>
      <c r="O365" s="3"/>
      <c r="P365" s="3"/>
      <c r="R365" s="4"/>
      <c r="S365" s="5"/>
      <c r="T365" s="5"/>
    </row>
    <row r="366" spans="3:20" ht="15.75" customHeight="1">
      <c r="C366" s="1"/>
      <c r="J366" s="2"/>
      <c r="K366" s="63"/>
      <c r="L366" s="63"/>
      <c r="M366" s="63"/>
      <c r="N366" s="3"/>
      <c r="O366" s="3"/>
      <c r="P366" s="3"/>
      <c r="R366" s="4"/>
      <c r="S366" s="5"/>
      <c r="T366" s="5"/>
    </row>
    <row r="367" spans="3:20" ht="15.75" customHeight="1">
      <c r="C367" s="1"/>
      <c r="J367" s="2"/>
      <c r="K367" s="63"/>
      <c r="L367" s="63"/>
      <c r="M367" s="63"/>
      <c r="N367" s="3"/>
      <c r="O367" s="3"/>
      <c r="P367" s="3"/>
      <c r="R367" s="4"/>
      <c r="S367" s="5"/>
      <c r="T367" s="5"/>
    </row>
    <row r="368" spans="3:20" ht="15.75" customHeight="1">
      <c r="C368" s="1"/>
      <c r="J368" s="2"/>
      <c r="K368" s="63"/>
      <c r="L368" s="63"/>
      <c r="M368" s="63"/>
      <c r="N368" s="3"/>
      <c r="O368" s="3"/>
      <c r="P368" s="3"/>
      <c r="R368" s="4"/>
      <c r="S368" s="5"/>
      <c r="T368" s="5"/>
    </row>
    <row r="369" spans="3:20" ht="15.75" customHeight="1">
      <c r="C369" s="1"/>
      <c r="J369" s="2"/>
      <c r="K369" s="63"/>
      <c r="L369" s="63"/>
      <c r="M369" s="63"/>
      <c r="N369" s="3"/>
      <c r="O369" s="3"/>
      <c r="P369" s="3"/>
      <c r="R369" s="4"/>
      <c r="S369" s="5"/>
      <c r="T369" s="5"/>
    </row>
    <row r="370" spans="3:20" ht="15.75" customHeight="1">
      <c r="C370" s="1"/>
      <c r="J370" s="2"/>
      <c r="K370" s="63"/>
      <c r="L370" s="63"/>
      <c r="M370" s="63"/>
      <c r="N370" s="3"/>
      <c r="O370" s="3"/>
      <c r="P370" s="3"/>
      <c r="R370" s="4"/>
      <c r="S370" s="5"/>
      <c r="T370" s="5"/>
    </row>
    <row r="371" spans="3:20" ht="15.75" customHeight="1">
      <c r="C371" s="1"/>
      <c r="J371" s="2"/>
      <c r="K371" s="63"/>
      <c r="L371" s="63"/>
      <c r="M371" s="63"/>
      <c r="N371" s="3"/>
      <c r="O371" s="3"/>
      <c r="P371" s="3"/>
      <c r="R371" s="4"/>
      <c r="S371" s="5"/>
      <c r="T371" s="5"/>
    </row>
    <row r="372" spans="3:20" ht="15.75" customHeight="1">
      <c r="C372" s="1"/>
      <c r="J372" s="2"/>
      <c r="K372" s="63"/>
      <c r="L372" s="63"/>
      <c r="M372" s="63"/>
      <c r="N372" s="3"/>
      <c r="O372" s="3"/>
      <c r="P372" s="3"/>
      <c r="R372" s="4"/>
      <c r="S372" s="5"/>
      <c r="T372" s="5"/>
    </row>
    <row r="373" spans="3:20" ht="15.75" customHeight="1">
      <c r="C373" s="1"/>
      <c r="J373" s="2"/>
      <c r="K373" s="63"/>
      <c r="L373" s="63"/>
      <c r="M373" s="63"/>
      <c r="N373" s="3"/>
      <c r="O373" s="3"/>
      <c r="P373" s="3"/>
      <c r="R373" s="4"/>
      <c r="S373" s="5"/>
      <c r="T373" s="5"/>
    </row>
    <row r="374" spans="3:20" ht="15.75" customHeight="1">
      <c r="C374" s="1"/>
      <c r="J374" s="2"/>
      <c r="K374" s="63"/>
      <c r="L374" s="63"/>
      <c r="M374" s="63"/>
      <c r="N374" s="3"/>
      <c r="O374" s="3"/>
      <c r="P374" s="3"/>
      <c r="R374" s="4"/>
      <c r="S374" s="5"/>
      <c r="T374" s="5"/>
    </row>
    <row r="375" spans="3:20" ht="15.75" customHeight="1">
      <c r="C375" s="1"/>
      <c r="J375" s="2"/>
      <c r="K375" s="63"/>
      <c r="L375" s="63"/>
      <c r="M375" s="63"/>
      <c r="N375" s="3"/>
      <c r="O375" s="3"/>
      <c r="P375" s="3"/>
      <c r="R375" s="4"/>
      <c r="S375" s="5"/>
      <c r="T375" s="5"/>
    </row>
    <row r="376" spans="3:20" ht="15.75" customHeight="1">
      <c r="C376" s="1"/>
      <c r="J376" s="2"/>
      <c r="K376" s="63"/>
      <c r="L376" s="63"/>
      <c r="M376" s="63"/>
      <c r="N376" s="3"/>
      <c r="O376" s="3"/>
      <c r="P376" s="3"/>
      <c r="R376" s="4"/>
      <c r="S376" s="5"/>
      <c r="T376" s="5"/>
    </row>
    <row r="377" spans="3:20" ht="15.75" customHeight="1">
      <c r="C377" s="1"/>
      <c r="J377" s="2"/>
      <c r="K377" s="63"/>
      <c r="L377" s="63"/>
      <c r="M377" s="63"/>
      <c r="N377" s="3"/>
      <c r="O377" s="3"/>
      <c r="P377" s="3"/>
      <c r="R377" s="4"/>
      <c r="S377" s="5"/>
      <c r="T377" s="5"/>
    </row>
    <row r="378" spans="3:20" ht="15.75" customHeight="1">
      <c r="C378" s="1"/>
      <c r="J378" s="2"/>
      <c r="K378" s="63"/>
      <c r="L378" s="63"/>
      <c r="M378" s="63"/>
      <c r="N378" s="3"/>
      <c r="O378" s="3"/>
      <c r="P378" s="3"/>
      <c r="R378" s="4"/>
      <c r="S378" s="5"/>
      <c r="T378" s="5"/>
    </row>
    <row r="379" spans="3:20" ht="15.75" customHeight="1">
      <c r="C379" s="1"/>
      <c r="J379" s="2"/>
      <c r="K379" s="63"/>
      <c r="L379" s="63"/>
      <c r="M379" s="63"/>
      <c r="N379" s="3"/>
      <c r="O379" s="3"/>
      <c r="P379" s="3"/>
      <c r="R379" s="4"/>
      <c r="S379" s="5"/>
      <c r="T379" s="5"/>
    </row>
    <row r="380" spans="3:20" ht="15.75" customHeight="1">
      <c r="C380" s="1"/>
      <c r="J380" s="2"/>
      <c r="K380" s="63"/>
      <c r="L380" s="63"/>
      <c r="M380" s="63"/>
      <c r="N380" s="3"/>
      <c r="O380" s="3"/>
      <c r="P380" s="3"/>
      <c r="R380" s="4"/>
      <c r="S380" s="5"/>
      <c r="T380" s="5"/>
    </row>
    <row r="381" spans="3:20" ht="15.75" customHeight="1">
      <c r="C381" s="1"/>
      <c r="J381" s="2"/>
      <c r="K381" s="63"/>
      <c r="L381" s="63"/>
      <c r="M381" s="63"/>
      <c r="N381" s="3"/>
      <c r="O381" s="3"/>
      <c r="P381" s="3"/>
      <c r="R381" s="4"/>
      <c r="S381" s="5"/>
      <c r="T381" s="5"/>
    </row>
    <row r="382" spans="3:20" ht="15.75" customHeight="1">
      <c r="C382" s="1"/>
      <c r="J382" s="2"/>
      <c r="K382" s="63"/>
      <c r="L382" s="63"/>
      <c r="M382" s="63"/>
      <c r="N382" s="3"/>
      <c r="O382" s="3"/>
      <c r="P382" s="3"/>
      <c r="R382" s="4"/>
      <c r="S382" s="5"/>
      <c r="T382" s="5"/>
    </row>
    <row r="383" spans="3:20" ht="15.75" customHeight="1">
      <c r="C383" s="1"/>
      <c r="J383" s="2"/>
      <c r="K383" s="63"/>
      <c r="L383" s="63"/>
      <c r="M383" s="63"/>
      <c r="N383" s="3"/>
      <c r="O383" s="3"/>
      <c r="P383" s="3"/>
      <c r="R383" s="4"/>
      <c r="S383" s="5"/>
      <c r="T383" s="5"/>
    </row>
    <row r="384" spans="3:20" ht="15.75" customHeight="1">
      <c r="C384" s="1"/>
      <c r="J384" s="2"/>
      <c r="K384" s="63"/>
      <c r="L384" s="63"/>
      <c r="M384" s="63"/>
      <c r="N384" s="3"/>
      <c r="O384" s="3"/>
      <c r="P384" s="3"/>
      <c r="R384" s="4"/>
      <c r="S384" s="5"/>
      <c r="T384" s="5"/>
    </row>
    <row r="385" spans="3:20" ht="15.75" customHeight="1">
      <c r="C385" s="1"/>
      <c r="J385" s="2"/>
      <c r="K385" s="63"/>
      <c r="L385" s="63"/>
      <c r="M385" s="63"/>
      <c r="N385" s="3"/>
      <c r="O385" s="3"/>
      <c r="P385" s="3"/>
      <c r="R385" s="4"/>
      <c r="S385" s="5"/>
      <c r="T385" s="5"/>
    </row>
    <row r="386" spans="3:20" ht="15.75" customHeight="1">
      <c r="C386" s="1"/>
      <c r="J386" s="2"/>
      <c r="K386" s="63"/>
      <c r="L386" s="63"/>
      <c r="M386" s="63"/>
      <c r="N386" s="3"/>
      <c r="O386" s="3"/>
      <c r="P386" s="3"/>
      <c r="R386" s="4"/>
      <c r="S386" s="5"/>
      <c r="T386" s="5"/>
    </row>
    <row r="387" spans="3:20" ht="15.75" customHeight="1">
      <c r="C387" s="1"/>
      <c r="J387" s="2"/>
      <c r="K387" s="63"/>
      <c r="L387" s="63"/>
      <c r="M387" s="63"/>
      <c r="N387" s="3"/>
      <c r="O387" s="3"/>
      <c r="P387" s="3"/>
      <c r="R387" s="4"/>
      <c r="S387" s="5"/>
      <c r="T387" s="5"/>
    </row>
    <row r="388" spans="3:20" ht="15.75" customHeight="1">
      <c r="C388" s="1"/>
      <c r="J388" s="2"/>
      <c r="K388" s="63"/>
      <c r="L388" s="63"/>
      <c r="M388" s="63"/>
      <c r="N388" s="3"/>
      <c r="O388" s="3"/>
      <c r="P388" s="3"/>
      <c r="R388" s="4"/>
      <c r="S388" s="5"/>
      <c r="T388" s="5"/>
    </row>
    <row r="389" spans="3:20" ht="15.75" customHeight="1">
      <c r="C389" s="1"/>
      <c r="J389" s="2"/>
      <c r="K389" s="63"/>
      <c r="L389" s="63"/>
      <c r="M389" s="63"/>
      <c r="N389" s="3"/>
      <c r="O389" s="3"/>
      <c r="P389" s="3"/>
      <c r="R389" s="4"/>
      <c r="S389" s="5"/>
      <c r="T389" s="5"/>
    </row>
    <row r="390" spans="3:20" ht="15.75" customHeight="1">
      <c r="C390" s="1"/>
      <c r="J390" s="2"/>
      <c r="K390" s="63"/>
      <c r="L390" s="63"/>
      <c r="M390" s="63"/>
      <c r="N390" s="3"/>
      <c r="O390" s="3"/>
      <c r="P390" s="3"/>
      <c r="R390" s="4"/>
      <c r="S390" s="5"/>
      <c r="T390" s="5"/>
    </row>
    <row r="391" spans="3:20" ht="15.75" customHeight="1">
      <c r="C391" s="1"/>
      <c r="J391" s="2"/>
      <c r="K391" s="63"/>
      <c r="L391" s="63"/>
      <c r="M391" s="63"/>
      <c r="N391" s="3"/>
      <c r="O391" s="3"/>
      <c r="P391" s="3"/>
      <c r="R391" s="4"/>
      <c r="S391" s="5"/>
      <c r="T391" s="5"/>
    </row>
    <row r="392" spans="3:20" ht="15.75" customHeight="1">
      <c r="C392" s="1"/>
      <c r="J392" s="2"/>
      <c r="K392" s="63"/>
      <c r="L392" s="63"/>
      <c r="M392" s="63"/>
      <c r="N392" s="3"/>
      <c r="O392" s="3"/>
      <c r="P392" s="3"/>
      <c r="R392" s="4"/>
      <c r="S392" s="5"/>
      <c r="T392" s="5"/>
    </row>
    <row r="393" spans="3:20" ht="15.75" customHeight="1">
      <c r="C393" s="1"/>
      <c r="J393" s="2"/>
      <c r="K393" s="63"/>
      <c r="L393" s="63"/>
      <c r="M393" s="63"/>
      <c r="N393" s="3"/>
      <c r="O393" s="3"/>
      <c r="P393" s="3"/>
      <c r="R393" s="4"/>
      <c r="S393" s="5"/>
      <c r="T393" s="5"/>
    </row>
    <row r="394" spans="3:20" ht="15.75" customHeight="1">
      <c r="C394" s="1"/>
      <c r="J394" s="2"/>
      <c r="K394" s="63"/>
      <c r="L394" s="63"/>
      <c r="M394" s="63"/>
      <c r="N394" s="3"/>
      <c r="O394" s="3"/>
      <c r="P394" s="3"/>
      <c r="R394" s="4"/>
      <c r="S394" s="5"/>
      <c r="T394" s="5"/>
    </row>
    <row r="395" spans="3:20" ht="15.75" customHeight="1">
      <c r="C395" s="1"/>
      <c r="J395" s="2"/>
      <c r="K395" s="63"/>
      <c r="L395" s="63"/>
      <c r="M395" s="63"/>
      <c r="N395" s="3"/>
      <c r="O395" s="3"/>
      <c r="P395" s="3"/>
      <c r="R395" s="4"/>
      <c r="S395" s="5"/>
      <c r="T395" s="5"/>
    </row>
    <row r="396" spans="3:20" ht="15.75" customHeight="1">
      <c r="C396" s="1"/>
      <c r="J396" s="2"/>
      <c r="K396" s="63"/>
      <c r="L396" s="63"/>
      <c r="M396" s="63"/>
      <c r="N396" s="3"/>
      <c r="O396" s="3"/>
      <c r="P396" s="3"/>
      <c r="R396" s="4"/>
      <c r="S396" s="5"/>
      <c r="T396" s="5"/>
    </row>
    <row r="397" spans="3:20" ht="15.75" customHeight="1">
      <c r="C397" s="1"/>
      <c r="J397" s="2"/>
      <c r="K397" s="63"/>
      <c r="L397" s="63"/>
      <c r="M397" s="63"/>
      <c r="N397" s="3"/>
      <c r="O397" s="3"/>
      <c r="P397" s="3"/>
      <c r="R397" s="4"/>
      <c r="S397" s="5"/>
      <c r="T397" s="5"/>
    </row>
    <row r="398" spans="3:20" ht="15.75" customHeight="1">
      <c r="C398" s="1"/>
      <c r="J398" s="2"/>
      <c r="K398" s="63"/>
      <c r="L398" s="63"/>
      <c r="M398" s="63"/>
      <c r="N398" s="3"/>
      <c r="O398" s="3"/>
      <c r="P398" s="3"/>
      <c r="R398" s="4"/>
      <c r="S398" s="5"/>
      <c r="T398" s="5"/>
    </row>
    <row r="399" spans="3:20" ht="15.75" customHeight="1">
      <c r="C399" s="1"/>
      <c r="J399" s="2"/>
      <c r="K399" s="63"/>
      <c r="L399" s="63"/>
      <c r="M399" s="63"/>
      <c r="N399" s="3"/>
      <c r="O399" s="3"/>
      <c r="P399" s="3"/>
      <c r="R399" s="4"/>
      <c r="S399" s="5"/>
      <c r="T399" s="5"/>
    </row>
    <row r="400" spans="3:20" ht="15.75" customHeight="1">
      <c r="C400" s="1"/>
      <c r="J400" s="2"/>
      <c r="K400" s="63"/>
      <c r="L400" s="63"/>
      <c r="M400" s="63"/>
      <c r="N400" s="3"/>
      <c r="O400" s="3"/>
      <c r="P400" s="3"/>
      <c r="R400" s="4"/>
      <c r="S400" s="5"/>
      <c r="T400" s="5"/>
    </row>
    <row r="401" spans="3:20" ht="15.75" customHeight="1">
      <c r="C401" s="1"/>
      <c r="J401" s="2"/>
      <c r="K401" s="63"/>
      <c r="L401" s="63"/>
      <c r="M401" s="63"/>
      <c r="N401" s="3"/>
      <c r="O401" s="3"/>
      <c r="P401" s="3"/>
      <c r="R401" s="4"/>
      <c r="S401" s="5"/>
      <c r="T401" s="5"/>
    </row>
    <row r="402" spans="3:20" ht="15.75" customHeight="1">
      <c r="C402" s="1"/>
      <c r="J402" s="2"/>
      <c r="K402" s="63"/>
      <c r="L402" s="63"/>
      <c r="M402" s="63"/>
      <c r="N402" s="3"/>
      <c r="O402" s="3"/>
      <c r="P402" s="3"/>
      <c r="R402" s="4"/>
      <c r="S402" s="5"/>
      <c r="T402" s="5"/>
    </row>
    <row r="403" spans="3:20" ht="15.75" customHeight="1">
      <c r="C403" s="1"/>
      <c r="J403" s="2"/>
      <c r="K403" s="63"/>
      <c r="L403" s="63"/>
      <c r="M403" s="63"/>
      <c r="N403" s="3"/>
      <c r="O403" s="3"/>
      <c r="P403" s="3"/>
      <c r="R403" s="4"/>
      <c r="S403" s="5"/>
      <c r="T403" s="5"/>
    </row>
    <row r="404" spans="3:20" ht="15.75" customHeight="1">
      <c r="C404" s="1"/>
      <c r="J404" s="2"/>
      <c r="K404" s="63"/>
      <c r="L404" s="63"/>
      <c r="M404" s="63"/>
      <c r="N404" s="3"/>
      <c r="O404" s="3"/>
      <c r="P404" s="3"/>
      <c r="R404" s="4"/>
      <c r="S404" s="5"/>
      <c r="T404" s="5"/>
    </row>
    <row r="405" spans="3:20" ht="15.75" customHeight="1">
      <c r="C405" s="1"/>
      <c r="J405" s="2"/>
      <c r="K405" s="63"/>
      <c r="L405" s="63"/>
      <c r="M405" s="63"/>
      <c r="N405" s="3"/>
      <c r="O405" s="3"/>
      <c r="P405" s="3"/>
      <c r="R405" s="4"/>
      <c r="S405" s="5"/>
      <c r="T405" s="5"/>
    </row>
    <row r="406" spans="3:20" ht="15.75" customHeight="1">
      <c r="C406" s="1"/>
      <c r="J406" s="2"/>
      <c r="K406" s="63"/>
      <c r="L406" s="63"/>
      <c r="M406" s="63"/>
      <c r="N406" s="3"/>
      <c r="O406" s="3"/>
      <c r="P406" s="3"/>
      <c r="R406" s="4"/>
      <c r="S406" s="5"/>
      <c r="T406" s="5"/>
    </row>
    <row r="407" spans="3:20" ht="15.75" customHeight="1">
      <c r="C407" s="1"/>
      <c r="J407" s="2"/>
      <c r="K407" s="63"/>
      <c r="L407" s="63"/>
      <c r="M407" s="63"/>
      <c r="N407" s="3"/>
      <c r="O407" s="3"/>
      <c r="P407" s="3"/>
      <c r="R407" s="4"/>
      <c r="S407" s="5"/>
      <c r="T407" s="5"/>
    </row>
    <row r="408" spans="3:20" ht="15.75" customHeight="1">
      <c r="C408" s="1"/>
      <c r="J408" s="2"/>
      <c r="K408" s="63"/>
      <c r="L408" s="63"/>
      <c r="M408" s="63"/>
      <c r="N408" s="3"/>
      <c r="O408" s="3"/>
      <c r="P408" s="3"/>
      <c r="R408" s="4"/>
      <c r="S408" s="5"/>
      <c r="T408" s="5"/>
    </row>
    <row r="409" spans="3:20" ht="15.75" customHeight="1">
      <c r="C409" s="1"/>
      <c r="J409" s="2"/>
      <c r="K409" s="63"/>
      <c r="L409" s="63"/>
      <c r="M409" s="63"/>
      <c r="N409" s="3"/>
      <c r="O409" s="3"/>
      <c r="P409" s="3"/>
      <c r="R409" s="4"/>
      <c r="S409" s="5"/>
      <c r="T409" s="5"/>
    </row>
    <row r="410" spans="3:20" ht="15.75" customHeight="1">
      <c r="C410" s="1"/>
      <c r="J410" s="2"/>
      <c r="K410" s="63"/>
      <c r="L410" s="63"/>
      <c r="M410" s="63"/>
      <c r="N410" s="3"/>
      <c r="O410" s="3"/>
      <c r="P410" s="3"/>
      <c r="R410" s="4"/>
      <c r="S410" s="5"/>
      <c r="T410" s="5"/>
    </row>
    <row r="411" spans="3:20" ht="15.75" customHeight="1">
      <c r="C411" s="1"/>
      <c r="J411" s="2"/>
      <c r="K411" s="63"/>
      <c r="L411" s="63"/>
      <c r="M411" s="63"/>
      <c r="N411" s="3"/>
      <c r="O411" s="3"/>
      <c r="P411" s="3"/>
      <c r="R411" s="4"/>
      <c r="S411" s="5"/>
      <c r="T411" s="5"/>
    </row>
    <row r="412" spans="3:20" ht="15.75" customHeight="1">
      <c r="C412" s="1"/>
      <c r="J412" s="2"/>
      <c r="K412" s="63"/>
      <c r="L412" s="63"/>
      <c r="M412" s="63"/>
      <c r="N412" s="3"/>
      <c r="O412" s="3"/>
      <c r="P412" s="3"/>
      <c r="R412" s="4"/>
      <c r="S412" s="5"/>
      <c r="T412" s="5"/>
    </row>
    <row r="413" spans="3:20" ht="15.75" customHeight="1">
      <c r="C413" s="1"/>
      <c r="J413" s="2"/>
      <c r="K413" s="63"/>
      <c r="L413" s="63"/>
      <c r="M413" s="63"/>
      <c r="N413" s="3"/>
      <c r="O413" s="3"/>
      <c r="P413" s="3"/>
      <c r="R413" s="4"/>
      <c r="S413" s="5"/>
      <c r="T413" s="5"/>
    </row>
    <row r="414" spans="3:20" ht="15.75" customHeight="1">
      <c r="C414" s="1"/>
      <c r="J414" s="2"/>
      <c r="K414" s="63"/>
      <c r="L414" s="63"/>
      <c r="M414" s="63"/>
      <c r="N414" s="3"/>
      <c r="O414" s="3"/>
      <c r="P414" s="3"/>
      <c r="R414" s="4"/>
      <c r="S414" s="5"/>
      <c r="T414" s="5"/>
    </row>
    <row r="415" spans="3:20" ht="15.75" customHeight="1">
      <c r="C415" s="1"/>
      <c r="J415" s="2"/>
      <c r="K415" s="63"/>
      <c r="L415" s="63"/>
      <c r="M415" s="63"/>
      <c r="N415" s="3"/>
      <c r="O415" s="3"/>
      <c r="P415" s="3"/>
      <c r="R415" s="4"/>
      <c r="S415" s="5"/>
      <c r="T415" s="5"/>
    </row>
    <row r="416" spans="3:20" ht="15.75" customHeight="1">
      <c r="C416" s="1"/>
      <c r="J416" s="2"/>
      <c r="K416" s="63"/>
      <c r="L416" s="63"/>
      <c r="M416" s="63"/>
      <c r="N416" s="3"/>
      <c r="O416" s="3"/>
      <c r="P416" s="3"/>
      <c r="R416" s="4"/>
      <c r="S416" s="5"/>
      <c r="T416" s="5"/>
    </row>
    <row r="417" spans="3:20" ht="15.75" customHeight="1">
      <c r="C417" s="1"/>
      <c r="J417" s="2"/>
      <c r="K417" s="63"/>
      <c r="L417" s="63"/>
      <c r="M417" s="63"/>
      <c r="N417" s="3"/>
      <c r="O417" s="3"/>
      <c r="P417" s="3"/>
      <c r="R417" s="4"/>
      <c r="S417" s="5"/>
      <c r="T417" s="5"/>
    </row>
    <row r="418" spans="3:20" ht="15.75" customHeight="1">
      <c r="C418" s="1"/>
      <c r="J418" s="2"/>
      <c r="K418" s="63"/>
      <c r="L418" s="63"/>
      <c r="M418" s="63"/>
      <c r="N418" s="3"/>
      <c r="O418" s="3"/>
      <c r="P418" s="3"/>
      <c r="R418" s="4"/>
      <c r="S418" s="5"/>
      <c r="T418" s="5"/>
    </row>
    <row r="419" spans="3:20" ht="15.75" customHeight="1">
      <c r="C419" s="1"/>
      <c r="J419" s="2"/>
      <c r="K419" s="63"/>
      <c r="L419" s="63"/>
      <c r="M419" s="63"/>
      <c r="N419" s="3"/>
      <c r="O419" s="3"/>
      <c r="P419" s="3"/>
      <c r="R419" s="4"/>
      <c r="S419" s="5"/>
      <c r="T419" s="5"/>
    </row>
    <row r="420" spans="3:20" ht="15.75" customHeight="1">
      <c r="C420" s="1"/>
      <c r="J420" s="2"/>
      <c r="K420" s="63"/>
      <c r="L420" s="63"/>
      <c r="M420" s="63"/>
      <c r="N420" s="3"/>
      <c r="O420" s="3"/>
      <c r="P420" s="3"/>
      <c r="R420" s="4"/>
      <c r="S420" s="5"/>
      <c r="T420" s="5"/>
    </row>
    <row r="421" spans="3:20" ht="15.75" customHeight="1">
      <c r="C421" s="1"/>
      <c r="J421" s="2"/>
      <c r="K421" s="63"/>
      <c r="L421" s="63"/>
      <c r="M421" s="63"/>
      <c r="N421" s="3"/>
      <c r="O421" s="3"/>
      <c r="P421" s="3"/>
      <c r="R421" s="4"/>
      <c r="S421" s="5"/>
      <c r="T421" s="5"/>
    </row>
    <row r="422" spans="3:20" ht="15.75" customHeight="1">
      <c r="C422" s="1"/>
      <c r="J422" s="2"/>
      <c r="K422" s="63"/>
      <c r="L422" s="63"/>
      <c r="M422" s="63"/>
      <c r="N422" s="3"/>
      <c r="O422" s="3"/>
      <c r="P422" s="3"/>
      <c r="R422" s="4"/>
      <c r="S422" s="5"/>
      <c r="T422" s="5"/>
    </row>
    <row r="423" spans="3:20" ht="15.75" customHeight="1">
      <c r="C423" s="1"/>
      <c r="J423" s="2"/>
      <c r="K423" s="63"/>
      <c r="L423" s="63"/>
      <c r="M423" s="63"/>
      <c r="N423" s="3"/>
      <c r="O423" s="3"/>
      <c r="P423" s="3"/>
      <c r="R423" s="4"/>
      <c r="S423" s="5"/>
      <c r="T423" s="5"/>
    </row>
    <row r="424" spans="3:20" ht="15.75" customHeight="1">
      <c r="C424" s="1"/>
      <c r="J424" s="2"/>
      <c r="K424" s="63"/>
      <c r="L424" s="63"/>
      <c r="M424" s="63"/>
      <c r="N424" s="3"/>
      <c r="O424" s="3"/>
      <c r="P424" s="3"/>
      <c r="R424" s="4"/>
      <c r="S424" s="5"/>
      <c r="T424" s="5"/>
    </row>
    <row r="425" spans="3:20" ht="15.75" customHeight="1">
      <c r="C425" s="1"/>
      <c r="J425" s="2"/>
      <c r="K425" s="63"/>
      <c r="L425" s="63"/>
      <c r="M425" s="63"/>
      <c r="N425" s="3"/>
      <c r="O425" s="3"/>
      <c r="P425" s="3"/>
      <c r="R425" s="4"/>
      <c r="S425" s="5"/>
      <c r="T425" s="5"/>
    </row>
    <row r="426" spans="3:20" ht="15.75" customHeight="1">
      <c r="C426" s="1"/>
      <c r="J426" s="2"/>
      <c r="K426" s="63"/>
      <c r="L426" s="63"/>
      <c r="M426" s="63"/>
      <c r="N426" s="3"/>
      <c r="O426" s="3"/>
      <c r="P426" s="3"/>
      <c r="R426" s="4"/>
      <c r="S426" s="5"/>
      <c r="T426" s="5"/>
    </row>
    <row r="427" spans="3:20" ht="15.75" customHeight="1">
      <c r="C427" s="1"/>
      <c r="J427" s="2"/>
      <c r="K427" s="63"/>
      <c r="L427" s="63"/>
      <c r="M427" s="63"/>
      <c r="N427" s="3"/>
      <c r="O427" s="3"/>
      <c r="P427" s="3"/>
      <c r="R427" s="4"/>
      <c r="S427" s="5"/>
      <c r="T427" s="5"/>
    </row>
    <row r="428" spans="3:20" ht="15.75" customHeight="1">
      <c r="C428" s="1"/>
      <c r="J428" s="2"/>
      <c r="K428" s="63"/>
      <c r="L428" s="63"/>
      <c r="M428" s="63"/>
      <c r="N428" s="3"/>
      <c r="O428" s="3"/>
      <c r="P428" s="3"/>
      <c r="R428" s="4"/>
      <c r="S428" s="5"/>
      <c r="T428" s="5"/>
    </row>
    <row r="429" spans="3:20" ht="15.75" customHeight="1">
      <c r="C429" s="1"/>
      <c r="J429" s="2"/>
      <c r="K429" s="63"/>
      <c r="L429" s="63"/>
      <c r="M429" s="63"/>
      <c r="N429" s="3"/>
      <c r="O429" s="3"/>
      <c r="P429" s="3"/>
      <c r="R429" s="4"/>
      <c r="S429" s="5"/>
      <c r="T429" s="5"/>
    </row>
    <row r="430" spans="3:20" ht="15.75" customHeight="1">
      <c r="C430" s="1"/>
      <c r="J430" s="2"/>
      <c r="K430" s="63"/>
      <c r="L430" s="63"/>
      <c r="M430" s="63"/>
      <c r="N430" s="3"/>
      <c r="O430" s="3"/>
      <c r="P430" s="3"/>
      <c r="R430" s="4"/>
      <c r="S430" s="5"/>
      <c r="T430" s="5"/>
    </row>
    <row r="431" spans="3:20" ht="15.75" customHeight="1">
      <c r="C431" s="1"/>
      <c r="J431" s="2"/>
      <c r="K431" s="63"/>
      <c r="L431" s="63"/>
      <c r="M431" s="63"/>
      <c r="N431" s="3"/>
      <c r="O431" s="3"/>
      <c r="P431" s="3"/>
      <c r="R431" s="4"/>
      <c r="S431" s="5"/>
      <c r="T431" s="5"/>
    </row>
    <row r="432" spans="3:20" ht="15.75" customHeight="1">
      <c r="C432" s="1"/>
      <c r="J432" s="2"/>
      <c r="K432" s="63"/>
      <c r="L432" s="63"/>
      <c r="M432" s="63"/>
      <c r="N432" s="3"/>
      <c r="O432" s="3"/>
      <c r="P432" s="3"/>
      <c r="R432" s="4"/>
      <c r="S432" s="5"/>
      <c r="T432" s="5"/>
    </row>
    <row r="433" spans="3:20" ht="15.75" customHeight="1">
      <c r="C433" s="1"/>
      <c r="J433" s="2"/>
      <c r="K433" s="63"/>
      <c r="L433" s="63"/>
      <c r="M433" s="63"/>
      <c r="N433" s="3"/>
      <c r="O433" s="3"/>
      <c r="P433" s="3"/>
      <c r="R433" s="4"/>
      <c r="S433" s="5"/>
      <c r="T433" s="5"/>
    </row>
    <row r="434" spans="3:20" ht="15.75" customHeight="1">
      <c r="C434" s="1"/>
      <c r="J434" s="2"/>
      <c r="K434" s="63"/>
      <c r="L434" s="63"/>
      <c r="M434" s="63"/>
      <c r="N434" s="3"/>
      <c r="O434" s="3"/>
      <c r="P434" s="3"/>
      <c r="R434" s="4"/>
      <c r="S434" s="5"/>
      <c r="T434" s="5"/>
    </row>
    <row r="435" spans="3:20" ht="15.75" customHeight="1">
      <c r="C435" s="1"/>
      <c r="J435" s="2"/>
      <c r="K435" s="63"/>
      <c r="L435" s="63"/>
      <c r="M435" s="63"/>
      <c r="N435" s="3"/>
      <c r="O435" s="3"/>
      <c r="P435" s="3"/>
      <c r="R435" s="4"/>
      <c r="S435" s="5"/>
      <c r="T435" s="5"/>
    </row>
    <row r="436" spans="3:20" ht="15.75" customHeight="1">
      <c r="C436" s="1"/>
      <c r="J436" s="2"/>
      <c r="K436" s="63"/>
      <c r="L436" s="63"/>
      <c r="M436" s="63"/>
      <c r="N436" s="3"/>
      <c r="O436" s="3"/>
      <c r="P436" s="3"/>
      <c r="R436" s="4"/>
      <c r="S436" s="5"/>
      <c r="T436" s="5"/>
    </row>
    <row r="437" spans="3:20" ht="15.75" customHeight="1">
      <c r="C437" s="1"/>
      <c r="J437" s="2"/>
      <c r="K437" s="63"/>
      <c r="L437" s="63"/>
      <c r="M437" s="63"/>
      <c r="N437" s="3"/>
      <c r="O437" s="3"/>
      <c r="P437" s="3"/>
      <c r="R437" s="4"/>
      <c r="S437" s="5"/>
      <c r="T437" s="5"/>
    </row>
    <row r="438" spans="3:20" ht="15.75" customHeight="1">
      <c r="C438" s="1"/>
      <c r="J438" s="2"/>
      <c r="K438" s="63"/>
      <c r="L438" s="63"/>
      <c r="M438" s="63"/>
      <c r="N438" s="3"/>
      <c r="O438" s="3"/>
      <c r="P438" s="3"/>
      <c r="R438" s="4"/>
      <c r="S438" s="5"/>
      <c r="T438" s="5"/>
    </row>
    <row r="439" spans="3:20" ht="15.75" customHeight="1">
      <c r="C439" s="1"/>
      <c r="J439" s="2"/>
      <c r="K439" s="63"/>
      <c r="L439" s="63"/>
      <c r="M439" s="63"/>
      <c r="N439" s="3"/>
      <c r="O439" s="3"/>
      <c r="P439" s="3"/>
      <c r="R439" s="4"/>
      <c r="S439" s="5"/>
      <c r="T439" s="5"/>
    </row>
    <row r="440" spans="3:20" ht="15.75" customHeight="1">
      <c r="C440" s="1"/>
      <c r="J440" s="2"/>
      <c r="K440" s="63"/>
      <c r="L440" s="63"/>
      <c r="M440" s="63"/>
      <c r="N440" s="3"/>
      <c r="O440" s="3"/>
      <c r="P440" s="3"/>
      <c r="R440" s="4"/>
      <c r="S440" s="5"/>
      <c r="T440" s="5"/>
    </row>
    <row r="441" spans="3:20" ht="15.75" customHeight="1">
      <c r="C441" s="1"/>
      <c r="J441" s="2"/>
      <c r="K441" s="63"/>
      <c r="L441" s="63"/>
      <c r="M441" s="63"/>
      <c r="N441" s="3"/>
      <c r="O441" s="3"/>
      <c r="P441" s="3"/>
      <c r="R441" s="4"/>
      <c r="S441" s="5"/>
      <c r="T441" s="5"/>
    </row>
    <row r="442" spans="3:20" ht="15.75" customHeight="1">
      <c r="C442" s="1"/>
      <c r="J442" s="2"/>
      <c r="K442" s="63"/>
      <c r="L442" s="63"/>
      <c r="M442" s="63"/>
      <c r="N442" s="3"/>
      <c r="O442" s="3"/>
      <c r="P442" s="3"/>
      <c r="R442" s="4"/>
      <c r="S442" s="5"/>
      <c r="T442" s="5"/>
    </row>
    <row r="443" spans="3:20" ht="15.75" customHeight="1">
      <c r="C443" s="1"/>
      <c r="J443" s="2"/>
      <c r="K443" s="63"/>
      <c r="L443" s="63"/>
      <c r="M443" s="63"/>
      <c r="N443" s="3"/>
      <c r="O443" s="3"/>
      <c r="P443" s="3"/>
      <c r="R443" s="4"/>
      <c r="S443" s="5"/>
      <c r="T443" s="5"/>
    </row>
    <row r="444" spans="3:20" ht="15.75" customHeight="1">
      <c r="C444" s="1"/>
      <c r="J444" s="2"/>
      <c r="K444" s="63"/>
      <c r="L444" s="63"/>
      <c r="M444" s="63"/>
      <c r="N444" s="3"/>
      <c r="O444" s="3"/>
      <c r="P444" s="3"/>
      <c r="R444" s="4"/>
      <c r="S444" s="5"/>
      <c r="T444" s="5"/>
    </row>
    <row r="445" spans="3:20" ht="15.75" customHeight="1">
      <c r="C445" s="1"/>
      <c r="J445" s="2"/>
      <c r="K445" s="63"/>
      <c r="L445" s="63"/>
      <c r="M445" s="63"/>
      <c r="N445" s="3"/>
      <c r="O445" s="3"/>
      <c r="P445" s="3"/>
      <c r="R445" s="4"/>
      <c r="S445" s="5"/>
      <c r="T445" s="5"/>
    </row>
    <row r="446" spans="3:20" ht="15.75" customHeight="1">
      <c r="C446" s="1"/>
      <c r="J446" s="2"/>
      <c r="K446" s="63"/>
      <c r="L446" s="63"/>
      <c r="M446" s="63"/>
      <c r="N446" s="3"/>
      <c r="O446" s="3"/>
      <c r="P446" s="3"/>
      <c r="R446" s="4"/>
      <c r="S446" s="5"/>
      <c r="T446" s="5"/>
    </row>
    <row r="447" spans="3:20" ht="15.75" customHeight="1">
      <c r="C447" s="1"/>
      <c r="J447" s="2"/>
      <c r="K447" s="63"/>
      <c r="L447" s="63"/>
      <c r="M447" s="63"/>
      <c r="N447" s="3"/>
      <c r="O447" s="3"/>
      <c r="P447" s="3"/>
      <c r="R447" s="4"/>
      <c r="S447" s="5"/>
      <c r="T447" s="5"/>
    </row>
    <row r="448" spans="3:20" ht="15.75" customHeight="1">
      <c r="C448" s="1"/>
      <c r="J448" s="2"/>
      <c r="K448" s="63"/>
      <c r="L448" s="63"/>
      <c r="M448" s="63"/>
      <c r="N448" s="3"/>
      <c r="O448" s="3"/>
      <c r="P448" s="3"/>
      <c r="R448" s="4"/>
      <c r="S448" s="5"/>
      <c r="T448" s="5"/>
    </row>
    <row r="449" spans="3:20" ht="15.75" customHeight="1">
      <c r="C449" s="1"/>
      <c r="J449" s="2"/>
      <c r="K449" s="63"/>
      <c r="L449" s="63"/>
      <c r="M449" s="63"/>
      <c r="N449" s="3"/>
      <c r="O449" s="3"/>
      <c r="P449" s="3"/>
      <c r="R449" s="4"/>
      <c r="S449" s="5"/>
      <c r="T449" s="5"/>
    </row>
    <row r="450" spans="3:20" ht="15.75" customHeight="1">
      <c r="C450" s="1"/>
      <c r="J450" s="2"/>
      <c r="K450" s="63"/>
      <c r="L450" s="63"/>
      <c r="M450" s="63"/>
      <c r="N450" s="3"/>
      <c r="O450" s="3"/>
      <c r="P450" s="3"/>
      <c r="R450" s="4"/>
      <c r="S450" s="5"/>
      <c r="T450" s="5"/>
    </row>
    <row r="451" spans="3:20" ht="15.75" customHeight="1">
      <c r="C451" s="1"/>
      <c r="J451" s="2"/>
      <c r="K451" s="63"/>
      <c r="L451" s="63"/>
      <c r="M451" s="63"/>
      <c r="N451" s="3"/>
      <c r="O451" s="3"/>
      <c r="P451" s="3"/>
      <c r="R451" s="4"/>
      <c r="S451" s="5"/>
      <c r="T451" s="5"/>
    </row>
    <row r="452" spans="3:20" ht="15.75" customHeight="1">
      <c r="C452" s="1"/>
      <c r="J452" s="2"/>
      <c r="K452" s="63"/>
      <c r="L452" s="63"/>
      <c r="M452" s="63"/>
      <c r="N452" s="3"/>
      <c r="O452" s="3"/>
      <c r="P452" s="3"/>
      <c r="R452" s="4"/>
      <c r="S452" s="5"/>
      <c r="T452" s="5"/>
    </row>
    <row r="453" spans="3:20" ht="15.75" customHeight="1">
      <c r="C453" s="1"/>
      <c r="J453" s="2"/>
      <c r="K453" s="63"/>
      <c r="L453" s="63"/>
      <c r="M453" s="63"/>
      <c r="N453" s="3"/>
      <c r="O453" s="3"/>
      <c r="P453" s="3"/>
      <c r="R453" s="4"/>
      <c r="S453" s="5"/>
      <c r="T453" s="5"/>
    </row>
    <row r="454" spans="3:20" ht="15.75" customHeight="1">
      <c r="C454" s="1"/>
      <c r="J454" s="2"/>
      <c r="K454" s="63"/>
      <c r="L454" s="63"/>
      <c r="M454" s="63"/>
      <c r="N454" s="3"/>
      <c r="O454" s="3"/>
      <c r="P454" s="3"/>
      <c r="R454" s="4"/>
      <c r="S454" s="5"/>
      <c r="T454" s="5"/>
    </row>
    <row r="455" spans="3:20" ht="15.75" customHeight="1">
      <c r="C455" s="1"/>
      <c r="J455" s="2"/>
      <c r="K455" s="63"/>
      <c r="L455" s="63"/>
      <c r="M455" s="63"/>
      <c r="N455" s="3"/>
      <c r="O455" s="3"/>
      <c r="P455" s="3"/>
      <c r="R455" s="4"/>
      <c r="S455" s="5"/>
      <c r="T455" s="5"/>
    </row>
    <row r="456" spans="3:20" ht="15.75" customHeight="1">
      <c r="C456" s="1"/>
      <c r="J456" s="2"/>
      <c r="K456" s="63"/>
      <c r="L456" s="63"/>
      <c r="M456" s="63"/>
      <c r="N456" s="3"/>
      <c r="O456" s="3"/>
      <c r="P456" s="3"/>
      <c r="R456" s="4"/>
      <c r="S456" s="5"/>
      <c r="T456" s="5"/>
    </row>
    <row r="457" spans="3:20" ht="15.75" customHeight="1">
      <c r="C457" s="1"/>
      <c r="J457" s="2"/>
      <c r="K457" s="63"/>
      <c r="L457" s="63"/>
      <c r="M457" s="63"/>
      <c r="N457" s="3"/>
      <c r="O457" s="3"/>
      <c r="P457" s="3"/>
      <c r="R457" s="4"/>
      <c r="S457" s="5"/>
      <c r="T457" s="5"/>
    </row>
    <row r="458" spans="3:20" ht="15.75" customHeight="1">
      <c r="C458" s="1"/>
      <c r="J458" s="2"/>
      <c r="K458" s="63"/>
      <c r="L458" s="63"/>
      <c r="M458" s="63"/>
      <c r="N458" s="3"/>
      <c r="O458" s="3"/>
      <c r="P458" s="3"/>
      <c r="R458" s="4"/>
      <c r="S458" s="5"/>
      <c r="T458" s="5"/>
    </row>
    <row r="459" spans="3:20" ht="15.75" customHeight="1">
      <c r="C459" s="1"/>
      <c r="J459" s="2"/>
      <c r="K459" s="63"/>
      <c r="L459" s="63"/>
      <c r="M459" s="63"/>
      <c r="N459" s="3"/>
      <c r="O459" s="3"/>
      <c r="P459" s="3"/>
      <c r="R459" s="4"/>
      <c r="S459" s="5"/>
      <c r="T459" s="5"/>
    </row>
    <row r="460" spans="3:20" ht="15.75" customHeight="1">
      <c r="C460" s="1"/>
      <c r="J460" s="2"/>
      <c r="K460" s="63"/>
      <c r="L460" s="63"/>
      <c r="M460" s="63"/>
      <c r="N460" s="3"/>
      <c r="O460" s="3"/>
      <c r="P460" s="3"/>
      <c r="R460" s="4"/>
      <c r="S460" s="5"/>
      <c r="T460" s="5"/>
    </row>
    <row r="461" spans="3:20" ht="15.75" customHeight="1">
      <c r="C461" s="1"/>
      <c r="J461" s="2"/>
      <c r="K461" s="63"/>
      <c r="L461" s="63"/>
      <c r="M461" s="63"/>
      <c r="N461" s="3"/>
      <c r="O461" s="3"/>
      <c r="P461" s="3"/>
      <c r="R461" s="4"/>
      <c r="S461" s="5"/>
      <c r="T461" s="5"/>
    </row>
    <row r="462" spans="3:20" ht="15.75" customHeight="1">
      <c r="C462" s="1"/>
      <c r="J462" s="2"/>
      <c r="K462" s="63"/>
      <c r="L462" s="63"/>
      <c r="M462" s="63"/>
      <c r="N462" s="3"/>
      <c r="O462" s="3"/>
      <c r="P462" s="3"/>
      <c r="R462" s="4"/>
      <c r="S462" s="5"/>
      <c r="T462" s="5"/>
    </row>
    <row r="463" spans="3:20" ht="15.75" customHeight="1">
      <c r="C463" s="1"/>
      <c r="J463" s="2"/>
      <c r="K463" s="63"/>
      <c r="L463" s="63"/>
      <c r="M463" s="63"/>
      <c r="N463" s="3"/>
      <c r="O463" s="3"/>
      <c r="P463" s="3"/>
      <c r="R463" s="4"/>
      <c r="S463" s="5"/>
      <c r="T463" s="5"/>
    </row>
    <row r="464" spans="3:20" ht="15.75" customHeight="1">
      <c r="C464" s="1"/>
      <c r="J464" s="2"/>
      <c r="K464" s="63"/>
      <c r="L464" s="63"/>
      <c r="M464" s="63"/>
      <c r="N464" s="3"/>
      <c r="O464" s="3"/>
      <c r="P464" s="3"/>
      <c r="R464" s="4"/>
      <c r="S464" s="5"/>
      <c r="T464" s="5"/>
    </row>
    <row r="465" spans="3:20" ht="15.75" customHeight="1">
      <c r="C465" s="1"/>
      <c r="J465" s="2"/>
      <c r="K465" s="63"/>
      <c r="L465" s="63"/>
      <c r="M465" s="63"/>
      <c r="N465" s="3"/>
      <c r="O465" s="3"/>
      <c r="P465" s="3"/>
      <c r="R465" s="4"/>
      <c r="S465" s="5"/>
      <c r="T465" s="5"/>
    </row>
    <row r="466" spans="3:20" ht="15.75" customHeight="1">
      <c r="C466" s="1"/>
      <c r="J466" s="2"/>
      <c r="K466" s="63"/>
      <c r="L466" s="63"/>
      <c r="M466" s="63"/>
      <c r="N466" s="3"/>
      <c r="O466" s="3"/>
      <c r="P466" s="3"/>
      <c r="R466" s="4"/>
      <c r="S466" s="5"/>
      <c r="T466" s="5"/>
    </row>
    <row r="467" spans="3:20" ht="15.75" customHeight="1">
      <c r="C467" s="1"/>
      <c r="J467" s="2"/>
      <c r="K467" s="63"/>
      <c r="L467" s="63"/>
      <c r="M467" s="63"/>
      <c r="N467" s="3"/>
      <c r="O467" s="3"/>
      <c r="P467" s="3"/>
      <c r="R467" s="4"/>
      <c r="S467" s="5"/>
      <c r="T467" s="5"/>
    </row>
    <row r="468" spans="3:20" ht="15.75" customHeight="1">
      <c r="C468" s="1"/>
      <c r="J468" s="2"/>
      <c r="K468" s="63"/>
      <c r="L468" s="63"/>
      <c r="M468" s="63"/>
      <c r="N468" s="3"/>
      <c r="O468" s="3"/>
      <c r="P468" s="3"/>
      <c r="R468" s="4"/>
      <c r="S468" s="5"/>
      <c r="T468" s="5"/>
    </row>
    <row r="469" spans="3:20" ht="15.75" customHeight="1">
      <c r="C469" s="1"/>
      <c r="J469" s="2"/>
      <c r="K469" s="63"/>
      <c r="L469" s="63"/>
      <c r="M469" s="63"/>
      <c r="N469" s="3"/>
      <c r="O469" s="3"/>
      <c r="P469" s="3"/>
      <c r="R469" s="4"/>
      <c r="S469" s="5"/>
      <c r="T469" s="5"/>
    </row>
    <row r="470" spans="3:20" ht="15.75" customHeight="1">
      <c r="C470" s="1"/>
      <c r="J470" s="2"/>
      <c r="K470" s="63"/>
      <c r="L470" s="63"/>
      <c r="M470" s="63"/>
      <c r="N470" s="3"/>
      <c r="O470" s="3"/>
      <c r="P470" s="3"/>
      <c r="R470" s="4"/>
      <c r="S470" s="5"/>
      <c r="T470" s="5"/>
    </row>
    <row r="471" spans="3:20" ht="15.75" customHeight="1">
      <c r="C471" s="1"/>
      <c r="J471" s="2"/>
      <c r="K471" s="63"/>
      <c r="L471" s="63"/>
      <c r="M471" s="63"/>
      <c r="N471" s="3"/>
      <c r="O471" s="3"/>
      <c r="P471" s="3"/>
      <c r="R471" s="4"/>
      <c r="S471" s="5"/>
      <c r="T471" s="5"/>
    </row>
    <row r="472" spans="3:20" ht="15.75" customHeight="1">
      <c r="C472" s="1"/>
      <c r="J472" s="2"/>
      <c r="K472" s="63"/>
      <c r="L472" s="63"/>
      <c r="M472" s="63"/>
      <c r="N472" s="3"/>
      <c r="O472" s="3"/>
      <c r="P472" s="3"/>
      <c r="R472" s="4"/>
      <c r="S472" s="5"/>
      <c r="T472" s="5"/>
    </row>
    <row r="473" spans="3:20" ht="15.75" customHeight="1">
      <c r="C473" s="1"/>
      <c r="J473" s="2"/>
      <c r="K473" s="63"/>
      <c r="L473" s="63"/>
      <c r="M473" s="63"/>
      <c r="N473" s="3"/>
      <c r="O473" s="3"/>
      <c r="P473" s="3"/>
      <c r="R473" s="4"/>
      <c r="S473" s="5"/>
      <c r="T473" s="5"/>
    </row>
    <row r="474" spans="3:20" ht="15.75" customHeight="1">
      <c r="C474" s="1"/>
      <c r="J474" s="2"/>
      <c r="K474" s="63"/>
      <c r="L474" s="63"/>
      <c r="M474" s="63"/>
      <c r="N474" s="3"/>
      <c r="O474" s="3"/>
      <c r="P474" s="3"/>
      <c r="R474" s="4"/>
      <c r="S474" s="5"/>
      <c r="T474" s="5"/>
    </row>
    <row r="475" spans="3:20" ht="15.75" customHeight="1">
      <c r="C475" s="1"/>
      <c r="J475" s="2"/>
      <c r="K475" s="63"/>
      <c r="L475" s="63"/>
      <c r="M475" s="63"/>
      <c r="N475" s="3"/>
      <c r="O475" s="3"/>
      <c r="P475" s="3"/>
      <c r="R475" s="4"/>
      <c r="S475" s="5"/>
      <c r="T475" s="5"/>
    </row>
    <row r="476" spans="3:20" ht="15.75" customHeight="1">
      <c r="C476" s="1"/>
      <c r="J476" s="2"/>
      <c r="K476" s="63"/>
      <c r="L476" s="63"/>
      <c r="M476" s="63"/>
      <c r="N476" s="3"/>
      <c r="O476" s="3"/>
      <c r="P476" s="3"/>
      <c r="R476" s="4"/>
      <c r="S476" s="5"/>
      <c r="T476" s="5"/>
    </row>
    <row r="477" spans="3:20" ht="15.75" customHeight="1">
      <c r="C477" s="1"/>
      <c r="J477" s="2"/>
      <c r="K477" s="63"/>
      <c r="L477" s="63"/>
      <c r="M477" s="63"/>
      <c r="N477" s="3"/>
      <c r="O477" s="3"/>
      <c r="P477" s="3"/>
      <c r="R477" s="4"/>
      <c r="S477" s="5"/>
      <c r="T477" s="5"/>
    </row>
    <row r="478" spans="3:20" ht="15.75" customHeight="1">
      <c r="C478" s="1"/>
      <c r="J478" s="2"/>
      <c r="K478" s="63"/>
      <c r="L478" s="63"/>
      <c r="M478" s="63"/>
      <c r="N478" s="3"/>
      <c r="O478" s="3"/>
      <c r="P478" s="3"/>
      <c r="R478" s="4"/>
      <c r="S478" s="5"/>
      <c r="T478" s="5"/>
    </row>
    <row r="479" spans="3:20" ht="15.75" customHeight="1">
      <c r="C479" s="1"/>
      <c r="J479" s="2"/>
      <c r="K479" s="63"/>
      <c r="L479" s="63"/>
      <c r="M479" s="63"/>
      <c r="N479" s="3"/>
      <c r="O479" s="3"/>
      <c r="P479" s="3"/>
      <c r="R479" s="4"/>
      <c r="S479" s="5"/>
      <c r="T479" s="5"/>
    </row>
    <row r="480" spans="3:20" ht="15.75" customHeight="1">
      <c r="C480" s="1"/>
      <c r="J480" s="2"/>
      <c r="K480" s="63"/>
      <c r="L480" s="63"/>
      <c r="M480" s="63"/>
      <c r="N480" s="3"/>
      <c r="O480" s="3"/>
      <c r="P480" s="3"/>
      <c r="R480" s="4"/>
      <c r="S480" s="5"/>
      <c r="T480" s="5"/>
    </row>
    <row r="481" spans="3:20" ht="15.75" customHeight="1">
      <c r="C481" s="1"/>
      <c r="J481" s="2"/>
      <c r="K481" s="63"/>
      <c r="L481" s="63"/>
      <c r="M481" s="63"/>
      <c r="N481" s="3"/>
      <c r="O481" s="3"/>
      <c r="P481" s="3"/>
      <c r="R481" s="4"/>
      <c r="S481" s="5"/>
      <c r="T481" s="5"/>
    </row>
    <row r="482" spans="3:20" ht="15.75" customHeight="1">
      <c r="C482" s="1"/>
      <c r="J482" s="2"/>
      <c r="K482" s="63"/>
      <c r="L482" s="63"/>
      <c r="M482" s="63"/>
      <c r="N482" s="3"/>
      <c r="O482" s="3"/>
      <c r="P482" s="3"/>
      <c r="R482" s="4"/>
      <c r="S482" s="5"/>
      <c r="T482" s="5"/>
    </row>
    <row r="483" spans="3:20" ht="15.75" customHeight="1">
      <c r="C483" s="1"/>
      <c r="J483" s="2"/>
      <c r="K483" s="63"/>
      <c r="L483" s="63"/>
      <c r="M483" s="63"/>
      <c r="N483" s="3"/>
      <c r="O483" s="3"/>
      <c r="P483" s="3"/>
      <c r="R483" s="4"/>
      <c r="S483" s="5"/>
      <c r="T483" s="5"/>
    </row>
    <row r="484" spans="3:20" ht="15.75" customHeight="1">
      <c r="C484" s="1"/>
      <c r="J484" s="2"/>
      <c r="K484" s="63"/>
      <c r="L484" s="63"/>
      <c r="M484" s="63"/>
      <c r="N484" s="3"/>
      <c r="O484" s="3"/>
      <c r="P484" s="3"/>
      <c r="R484" s="4"/>
      <c r="S484" s="5"/>
      <c r="T484" s="5"/>
    </row>
    <row r="485" spans="3:20" ht="15.75" customHeight="1">
      <c r="C485" s="1"/>
      <c r="J485" s="2"/>
      <c r="K485" s="63"/>
      <c r="L485" s="63"/>
      <c r="M485" s="63"/>
      <c r="N485" s="3"/>
      <c r="O485" s="3"/>
      <c r="P485" s="3"/>
      <c r="R485" s="4"/>
      <c r="S485" s="5"/>
      <c r="T485" s="5"/>
    </row>
    <row r="486" spans="3:20" ht="15.75" customHeight="1">
      <c r="C486" s="1"/>
      <c r="J486" s="2"/>
      <c r="K486" s="63"/>
      <c r="L486" s="63"/>
      <c r="M486" s="63"/>
      <c r="N486" s="3"/>
      <c r="O486" s="3"/>
      <c r="P486" s="3"/>
      <c r="R486" s="4"/>
      <c r="S486" s="5"/>
      <c r="T486" s="5"/>
    </row>
    <row r="487" spans="3:20" ht="15.75" customHeight="1">
      <c r="C487" s="1"/>
      <c r="J487" s="2"/>
      <c r="K487" s="63"/>
      <c r="L487" s="63"/>
      <c r="M487" s="63"/>
      <c r="N487" s="3"/>
      <c r="O487" s="3"/>
      <c r="P487" s="3"/>
      <c r="R487" s="4"/>
      <c r="S487" s="5"/>
      <c r="T487" s="5"/>
    </row>
    <row r="488" spans="3:20" ht="15.75" customHeight="1">
      <c r="C488" s="1"/>
      <c r="J488" s="2"/>
      <c r="K488" s="63"/>
      <c r="L488" s="63"/>
      <c r="M488" s="63"/>
      <c r="N488" s="3"/>
      <c r="O488" s="3"/>
      <c r="P488" s="3"/>
      <c r="R488" s="4"/>
      <c r="S488" s="5"/>
      <c r="T488" s="5"/>
    </row>
    <row r="489" spans="3:20" ht="15.75" customHeight="1">
      <c r="C489" s="1"/>
      <c r="J489" s="2"/>
      <c r="K489" s="63"/>
      <c r="L489" s="63"/>
      <c r="M489" s="63"/>
      <c r="N489" s="3"/>
      <c r="O489" s="3"/>
      <c r="P489" s="3"/>
      <c r="R489" s="4"/>
      <c r="S489" s="5"/>
      <c r="T489" s="5"/>
    </row>
    <row r="490" spans="3:20" ht="15.75" customHeight="1">
      <c r="C490" s="1"/>
      <c r="J490" s="2"/>
      <c r="K490" s="63"/>
      <c r="L490" s="63"/>
      <c r="M490" s="63"/>
      <c r="N490" s="3"/>
      <c r="O490" s="3"/>
      <c r="P490" s="3"/>
      <c r="R490" s="4"/>
      <c r="S490" s="5"/>
      <c r="T490" s="5"/>
    </row>
    <row r="491" spans="3:20" ht="15.75" customHeight="1">
      <c r="C491" s="1"/>
      <c r="J491" s="2"/>
      <c r="K491" s="63"/>
      <c r="L491" s="63"/>
      <c r="M491" s="63"/>
      <c r="N491" s="3"/>
      <c r="O491" s="3"/>
      <c r="P491" s="3"/>
      <c r="R491" s="4"/>
      <c r="S491" s="5"/>
      <c r="T491" s="5"/>
    </row>
    <row r="492" spans="3:20" ht="15.75" customHeight="1">
      <c r="C492" s="1"/>
      <c r="J492" s="2"/>
      <c r="K492" s="63"/>
      <c r="L492" s="63"/>
      <c r="M492" s="63"/>
      <c r="N492" s="3"/>
      <c r="O492" s="3"/>
      <c r="P492" s="3"/>
      <c r="R492" s="4"/>
      <c r="S492" s="5"/>
      <c r="T492" s="5"/>
    </row>
    <row r="493" spans="3:20" ht="15.75" customHeight="1">
      <c r="C493" s="1"/>
      <c r="J493" s="2"/>
      <c r="K493" s="63"/>
      <c r="L493" s="63"/>
      <c r="M493" s="63"/>
      <c r="N493" s="3"/>
      <c r="O493" s="3"/>
      <c r="P493" s="3"/>
      <c r="R493" s="4"/>
      <c r="S493" s="5"/>
      <c r="T493" s="5"/>
    </row>
    <row r="494" spans="3:20" ht="15.75" customHeight="1">
      <c r="C494" s="1"/>
      <c r="J494" s="2"/>
      <c r="K494" s="63"/>
      <c r="L494" s="63"/>
      <c r="M494" s="63"/>
      <c r="N494" s="3"/>
      <c r="O494" s="3"/>
      <c r="P494" s="3"/>
      <c r="R494" s="4"/>
      <c r="S494" s="5"/>
      <c r="T494" s="5"/>
    </row>
    <row r="495" spans="3:20" ht="15.75" customHeight="1">
      <c r="C495" s="1"/>
      <c r="J495" s="2"/>
      <c r="K495" s="63"/>
      <c r="L495" s="63"/>
      <c r="M495" s="63"/>
      <c r="N495" s="3"/>
      <c r="O495" s="3"/>
      <c r="P495" s="3"/>
      <c r="R495" s="4"/>
      <c r="S495" s="5"/>
      <c r="T495" s="5"/>
    </row>
    <row r="496" spans="3:20" ht="15.75" customHeight="1">
      <c r="C496" s="1"/>
      <c r="J496" s="2"/>
      <c r="K496" s="63"/>
      <c r="L496" s="63"/>
      <c r="M496" s="63"/>
      <c r="N496" s="3"/>
      <c r="O496" s="3"/>
      <c r="P496" s="3"/>
      <c r="R496" s="4"/>
      <c r="S496" s="5"/>
      <c r="T496" s="5"/>
    </row>
    <row r="497" spans="3:20" ht="15.75" customHeight="1">
      <c r="C497" s="1"/>
      <c r="J497" s="2"/>
      <c r="K497" s="63"/>
      <c r="L497" s="63"/>
      <c r="M497" s="63"/>
      <c r="N497" s="3"/>
      <c r="O497" s="3"/>
      <c r="P497" s="3"/>
      <c r="R497" s="4"/>
      <c r="S497" s="5"/>
      <c r="T497" s="5"/>
    </row>
    <row r="498" spans="3:20" ht="15.75" customHeight="1">
      <c r="C498" s="1"/>
      <c r="J498" s="2"/>
      <c r="K498" s="63"/>
      <c r="L498" s="63"/>
      <c r="M498" s="63"/>
      <c r="N498" s="3"/>
      <c r="O498" s="3"/>
      <c r="P498" s="3"/>
      <c r="R498" s="4"/>
      <c r="S498" s="5"/>
      <c r="T498" s="5"/>
    </row>
    <row r="499" spans="3:20" ht="15.75" customHeight="1">
      <c r="C499" s="1"/>
      <c r="J499" s="2"/>
      <c r="K499" s="63"/>
      <c r="L499" s="63"/>
      <c r="M499" s="63"/>
      <c r="N499" s="3"/>
      <c r="O499" s="3"/>
      <c r="P499" s="3"/>
      <c r="R499" s="4"/>
      <c r="S499" s="5"/>
      <c r="T499" s="5"/>
    </row>
    <row r="500" spans="3:20" ht="15.75" customHeight="1">
      <c r="C500" s="1"/>
      <c r="J500" s="2"/>
      <c r="K500" s="63"/>
      <c r="L500" s="63"/>
      <c r="M500" s="63"/>
      <c r="N500" s="3"/>
      <c r="O500" s="3"/>
      <c r="P500" s="3"/>
      <c r="R500" s="4"/>
      <c r="S500" s="5"/>
      <c r="T500" s="5"/>
    </row>
    <row r="501" spans="3:20" ht="15.75" customHeight="1">
      <c r="C501" s="1"/>
      <c r="J501" s="2"/>
      <c r="K501" s="63"/>
      <c r="L501" s="63"/>
      <c r="M501" s="63"/>
      <c r="N501" s="3"/>
      <c r="O501" s="3"/>
      <c r="P501" s="3"/>
      <c r="R501" s="4"/>
      <c r="S501" s="5"/>
      <c r="T501" s="5"/>
    </row>
    <row r="502" spans="3:20" ht="15.75" customHeight="1">
      <c r="C502" s="1"/>
      <c r="J502" s="2"/>
      <c r="K502" s="63"/>
      <c r="L502" s="63"/>
      <c r="M502" s="63"/>
      <c r="N502" s="3"/>
      <c r="O502" s="3"/>
      <c r="P502" s="3"/>
      <c r="R502" s="4"/>
      <c r="S502" s="5"/>
      <c r="T502" s="5"/>
    </row>
    <row r="503" spans="3:20" ht="15.75" customHeight="1">
      <c r="C503" s="1"/>
      <c r="J503" s="2"/>
      <c r="K503" s="63"/>
      <c r="L503" s="63"/>
      <c r="M503" s="63"/>
      <c r="N503" s="3"/>
      <c r="O503" s="3"/>
      <c r="P503" s="3"/>
      <c r="R503" s="4"/>
      <c r="S503" s="5"/>
      <c r="T503" s="5"/>
    </row>
    <row r="504" spans="3:20" ht="15.75" customHeight="1">
      <c r="C504" s="1"/>
      <c r="J504" s="2"/>
      <c r="K504" s="63"/>
      <c r="L504" s="63"/>
      <c r="M504" s="63"/>
      <c r="N504" s="3"/>
      <c r="O504" s="3"/>
      <c r="P504" s="3"/>
      <c r="R504" s="4"/>
      <c r="S504" s="5"/>
      <c r="T504" s="5"/>
    </row>
    <row r="505" spans="3:20" ht="15.75" customHeight="1">
      <c r="C505" s="1"/>
      <c r="J505" s="2"/>
      <c r="K505" s="63"/>
      <c r="L505" s="63"/>
      <c r="M505" s="63"/>
      <c r="N505" s="3"/>
      <c r="O505" s="3"/>
      <c r="P505" s="3"/>
      <c r="R505" s="4"/>
      <c r="S505" s="5"/>
      <c r="T505" s="5"/>
    </row>
    <row r="506" spans="3:20" ht="15.75" customHeight="1">
      <c r="C506" s="1"/>
      <c r="J506" s="2"/>
      <c r="K506" s="63"/>
      <c r="L506" s="63"/>
      <c r="M506" s="63"/>
      <c r="N506" s="3"/>
      <c r="O506" s="3"/>
      <c r="P506" s="3"/>
      <c r="R506" s="4"/>
      <c r="S506" s="5"/>
      <c r="T506" s="5"/>
    </row>
    <row r="507" spans="3:20" ht="15.75" customHeight="1">
      <c r="C507" s="1"/>
      <c r="J507" s="2"/>
      <c r="K507" s="63"/>
      <c r="L507" s="63"/>
      <c r="M507" s="63"/>
      <c r="N507" s="3"/>
      <c r="O507" s="3"/>
      <c r="P507" s="3"/>
      <c r="R507" s="4"/>
      <c r="S507" s="5"/>
      <c r="T507" s="5"/>
    </row>
    <row r="508" spans="3:20" ht="15.75" customHeight="1">
      <c r="C508" s="1"/>
      <c r="J508" s="2"/>
      <c r="K508" s="63"/>
      <c r="L508" s="63"/>
      <c r="M508" s="63"/>
      <c r="N508" s="3"/>
      <c r="O508" s="3"/>
      <c r="P508" s="3"/>
      <c r="R508" s="4"/>
      <c r="S508" s="5"/>
      <c r="T508" s="5"/>
    </row>
    <row r="509" spans="3:20" ht="15.75" customHeight="1">
      <c r="C509" s="1"/>
      <c r="J509" s="2"/>
      <c r="K509" s="63"/>
      <c r="L509" s="63"/>
      <c r="M509" s="63"/>
      <c r="N509" s="3"/>
      <c r="O509" s="3"/>
      <c r="P509" s="3"/>
      <c r="R509" s="4"/>
      <c r="S509" s="5"/>
      <c r="T509" s="5"/>
    </row>
    <row r="510" spans="3:20" ht="15.75" customHeight="1">
      <c r="C510" s="1"/>
      <c r="J510" s="2"/>
      <c r="K510" s="63"/>
      <c r="L510" s="63"/>
      <c r="M510" s="63"/>
      <c r="N510" s="3"/>
      <c r="O510" s="3"/>
      <c r="P510" s="3"/>
      <c r="R510" s="4"/>
      <c r="S510" s="5"/>
      <c r="T510" s="5"/>
    </row>
    <row r="511" spans="3:20" ht="15.75" customHeight="1">
      <c r="C511" s="1"/>
      <c r="J511" s="2"/>
      <c r="K511" s="63"/>
      <c r="L511" s="63"/>
      <c r="M511" s="63"/>
      <c r="N511" s="3"/>
      <c r="O511" s="3"/>
      <c r="P511" s="3"/>
      <c r="R511" s="4"/>
      <c r="S511" s="5"/>
      <c r="T511" s="5"/>
    </row>
    <row r="512" spans="3:20" ht="15.75" customHeight="1">
      <c r="C512" s="1"/>
      <c r="J512" s="2"/>
      <c r="K512" s="63"/>
      <c r="L512" s="63"/>
      <c r="M512" s="63"/>
      <c r="N512" s="3"/>
      <c r="O512" s="3"/>
      <c r="P512" s="3"/>
      <c r="R512" s="4"/>
      <c r="S512" s="5"/>
      <c r="T512" s="5"/>
    </row>
    <row r="513" spans="3:20" ht="15.75" customHeight="1">
      <c r="C513" s="1"/>
      <c r="J513" s="2"/>
      <c r="K513" s="63"/>
      <c r="L513" s="63"/>
      <c r="M513" s="63"/>
      <c r="N513" s="3"/>
      <c r="O513" s="3"/>
      <c r="P513" s="3"/>
      <c r="R513" s="4"/>
      <c r="S513" s="5"/>
      <c r="T513" s="5"/>
    </row>
    <row r="514" spans="3:20" ht="15.75" customHeight="1">
      <c r="C514" s="1"/>
      <c r="J514" s="2"/>
      <c r="K514" s="63"/>
      <c r="L514" s="63"/>
      <c r="M514" s="63"/>
      <c r="N514" s="3"/>
      <c r="O514" s="3"/>
      <c r="P514" s="3"/>
      <c r="R514" s="4"/>
      <c r="S514" s="5"/>
      <c r="T514" s="5"/>
    </row>
    <row r="515" spans="3:20" ht="15.75" customHeight="1">
      <c r="C515" s="1"/>
      <c r="J515" s="2"/>
      <c r="K515" s="63"/>
      <c r="L515" s="63"/>
      <c r="M515" s="63"/>
      <c r="N515" s="3"/>
      <c r="O515" s="3"/>
      <c r="P515" s="3"/>
      <c r="R515" s="4"/>
      <c r="S515" s="5"/>
      <c r="T515" s="5"/>
    </row>
    <row r="516" spans="3:20" ht="15.75" customHeight="1">
      <c r="C516" s="1"/>
      <c r="J516" s="2"/>
      <c r="K516" s="63"/>
      <c r="L516" s="63"/>
      <c r="M516" s="63"/>
      <c r="N516" s="3"/>
      <c r="O516" s="3"/>
      <c r="P516" s="3"/>
      <c r="R516" s="4"/>
      <c r="S516" s="5"/>
      <c r="T516" s="5"/>
    </row>
    <row r="517" spans="3:20" ht="15.75" customHeight="1">
      <c r="C517" s="1"/>
      <c r="J517" s="2"/>
      <c r="K517" s="63"/>
      <c r="L517" s="63"/>
      <c r="M517" s="63"/>
      <c r="N517" s="3"/>
      <c r="O517" s="3"/>
      <c r="P517" s="3"/>
      <c r="R517" s="4"/>
      <c r="S517" s="5"/>
      <c r="T517" s="5"/>
    </row>
    <row r="518" spans="3:20" ht="15.75" customHeight="1">
      <c r="C518" s="1"/>
      <c r="J518" s="2"/>
      <c r="K518" s="63"/>
      <c r="L518" s="63"/>
      <c r="M518" s="63"/>
      <c r="N518" s="3"/>
      <c r="O518" s="3"/>
      <c r="P518" s="3"/>
      <c r="R518" s="4"/>
      <c r="S518" s="5"/>
      <c r="T518" s="5"/>
    </row>
    <row r="519" spans="3:20" ht="15.75" customHeight="1">
      <c r="C519" s="1"/>
      <c r="J519" s="2"/>
      <c r="K519" s="63"/>
      <c r="L519" s="63"/>
      <c r="M519" s="63"/>
      <c r="N519" s="3"/>
      <c r="O519" s="3"/>
      <c r="P519" s="3"/>
      <c r="R519" s="4"/>
      <c r="S519" s="5"/>
      <c r="T519" s="5"/>
    </row>
    <row r="520" spans="3:20" ht="15.75" customHeight="1">
      <c r="C520" s="1"/>
      <c r="J520" s="2"/>
      <c r="K520" s="63"/>
      <c r="L520" s="63"/>
      <c r="M520" s="63"/>
      <c r="N520" s="3"/>
      <c r="O520" s="3"/>
      <c r="P520" s="3"/>
      <c r="R520" s="4"/>
      <c r="S520" s="5"/>
      <c r="T520" s="5"/>
    </row>
    <row r="521" spans="3:20" ht="15.75" customHeight="1">
      <c r="C521" s="1"/>
      <c r="J521" s="2"/>
      <c r="K521" s="63"/>
      <c r="L521" s="63"/>
      <c r="M521" s="63"/>
      <c r="N521" s="3"/>
      <c r="O521" s="3"/>
      <c r="P521" s="3"/>
      <c r="R521" s="4"/>
      <c r="S521" s="5"/>
      <c r="T521" s="5"/>
    </row>
    <row r="522" spans="3:20" ht="15.75" customHeight="1">
      <c r="C522" s="1"/>
      <c r="J522" s="2"/>
      <c r="K522" s="63"/>
      <c r="L522" s="63"/>
      <c r="M522" s="63"/>
      <c r="N522" s="3"/>
      <c r="O522" s="3"/>
      <c r="P522" s="3"/>
      <c r="R522" s="4"/>
      <c r="S522" s="5"/>
      <c r="T522" s="5"/>
    </row>
    <row r="523" spans="3:20" ht="15.75" customHeight="1">
      <c r="C523" s="1"/>
      <c r="J523" s="2"/>
      <c r="K523" s="63"/>
      <c r="L523" s="63"/>
      <c r="M523" s="63"/>
      <c r="N523" s="3"/>
      <c r="O523" s="3"/>
      <c r="P523" s="3"/>
      <c r="R523" s="4"/>
      <c r="S523" s="5"/>
      <c r="T523" s="5"/>
    </row>
    <row r="524" spans="3:20" ht="15.75" customHeight="1">
      <c r="C524" s="1"/>
      <c r="J524" s="2"/>
      <c r="K524" s="63"/>
      <c r="L524" s="63"/>
      <c r="M524" s="63"/>
      <c r="N524" s="3"/>
      <c r="O524" s="3"/>
      <c r="P524" s="3"/>
      <c r="R524" s="4"/>
      <c r="S524" s="5"/>
      <c r="T524" s="5"/>
    </row>
    <row r="525" spans="3:20" ht="15.75" customHeight="1">
      <c r="C525" s="1"/>
      <c r="J525" s="2"/>
      <c r="K525" s="63"/>
      <c r="L525" s="63"/>
      <c r="M525" s="63"/>
      <c r="N525" s="3"/>
      <c r="O525" s="3"/>
      <c r="P525" s="3"/>
      <c r="R525" s="4"/>
      <c r="S525" s="5"/>
      <c r="T525" s="5"/>
    </row>
    <row r="526" spans="3:20" ht="15.75" customHeight="1">
      <c r="C526" s="1"/>
      <c r="J526" s="2"/>
      <c r="K526" s="63"/>
      <c r="L526" s="63"/>
      <c r="M526" s="63"/>
      <c r="N526" s="3"/>
      <c r="O526" s="3"/>
      <c r="P526" s="3"/>
      <c r="R526" s="4"/>
      <c r="S526" s="5"/>
      <c r="T526" s="5"/>
    </row>
    <row r="527" spans="3:20" ht="15.75" customHeight="1">
      <c r="C527" s="1"/>
      <c r="J527" s="2"/>
      <c r="K527" s="63"/>
      <c r="L527" s="63"/>
      <c r="M527" s="63"/>
      <c r="N527" s="3"/>
      <c r="O527" s="3"/>
      <c r="P527" s="3"/>
      <c r="R527" s="4"/>
      <c r="S527" s="5"/>
      <c r="T527" s="5"/>
    </row>
    <row r="528" spans="3:20" ht="15.75" customHeight="1">
      <c r="C528" s="1"/>
      <c r="J528" s="2"/>
      <c r="K528" s="63"/>
      <c r="L528" s="63"/>
      <c r="M528" s="63"/>
      <c r="N528" s="3"/>
      <c r="O528" s="3"/>
      <c r="P528" s="3"/>
      <c r="R528" s="4"/>
      <c r="S528" s="5"/>
      <c r="T528" s="5"/>
    </row>
    <row r="529" spans="3:20" ht="15.75" customHeight="1">
      <c r="C529" s="1"/>
      <c r="J529" s="2"/>
      <c r="K529" s="63"/>
      <c r="L529" s="63"/>
      <c r="M529" s="63"/>
      <c r="N529" s="3"/>
      <c r="O529" s="3"/>
      <c r="P529" s="3"/>
      <c r="R529" s="4"/>
      <c r="S529" s="5"/>
      <c r="T529" s="5"/>
    </row>
    <row r="530" spans="3:20" ht="15.75" customHeight="1">
      <c r="C530" s="1"/>
      <c r="J530" s="2"/>
      <c r="K530" s="63"/>
      <c r="L530" s="63"/>
      <c r="M530" s="63"/>
      <c r="N530" s="3"/>
      <c r="O530" s="3"/>
      <c r="P530" s="3"/>
      <c r="R530" s="4"/>
      <c r="S530" s="5"/>
      <c r="T530" s="5"/>
    </row>
    <row r="531" spans="3:20" ht="15.75" customHeight="1">
      <c r="C531" s="1"/>
      <c r="J531" s="2"/>
      <c r="K531" s="63"/>
      <c r="L531" s="63"/>
      <c r="M531" s="63"/>
      <c r="N531" s="3"/>
      <c r="O531" s="3"/>
      <c r="P531" s="3"/>
      <c r="R531" s="4"/>
      <c r="S531" s="5"/>
      <c r="T531" s="5"/>
    </row>
    <row r="532" spans="3:20" ht="15.75" customHeight="1">
      <c r="C532" s="1"/>
      <c r="J532" s="2"/>
      <c r="K532" s="63"/>
      <c r="L532" s="63"/>
      <c r="M532" s="63"/>
      <c r="N532" s="3"/>
      <c r="O532" s="3"/>
      <c r="P532" s="3"/>
      <c r="R532" s="4"/>
      <c r="S532" s="5"/>
      <c r="T532" s="5"/>
    </row>
    <row r="533" spans="3:20" ht="15.75" customHeight="1">
      <c r="C533" s="1"/>
      <c r="J533" s="2"/>
      <c r="K533" s="63"/>
      <c r="L533" s="63"/>
      <c r="M533" s="63"/>
      <c r="N533" s="3"/>
      <c r="O533" s="3"/>
      <c r="P533" s="3"/>
      <c r="R533" s="4"/>
      <c r="S533" s="5"/>
      <c r="T533" s="5"/>
    </row>
    <row r="534" spans="3:20" ht="15.75" customHeight="1">
      <c r="C534" s="1"/>
      <c r="J534" s="2"/>
      <c r="K534" s="63"/>
      <c r="L534" s="63"/>
      <c r="M534" s="63"/>
      <c r="N534" s="3"/>
      <c r="O534" s="3"/>
      <c r="P534" s="3"/>
      <c r="R534" s="4"/>
      <c r="S534" s="5"/>
      <c r="T534" s="5"/>
    </row>
    <row r="535" spans="3:20" ht="15.75" customHeight="1">
      <c r="C535" s="1"/>
      <c r="J535" s="2"/>
      <c r="K535" s="63"/>
      <c r="L535" s="63"/>
      <c r="M535" s="63"/>
      <c r="N535" s="3"/>
      <c r="O535" s="3"/>
      <c r="P535" s="3"/>
      <c r="R535" s="4"/>
      <c r="S535" s="5"/>
      <c r="T535" s="5"/>
    </row>
    <row r="536" spans="3:20" ht="15.75" customHeight="1">
      <c r="C536" s="1"/>
      <c r="J536" s="2"/>
      <c r="K536" s="63"/>
      <c r="L536" s="63"/>
      <c r="M536" s="63"/>
      <c r="N536" s="3"/>
      <c r="O536" s="3"/>
      <c r="P536" s="3"/>
      <c r="R536" s="4"/>
      <c r="S536" s="5"/>
      <c r="T536" s="5"/>
    </row>
    <row r="537" spans="3:20" ht="15.75" customHeight="1">
      <c r="C537" s="1"/>
      <c r="J537" s="2"/>
      <c r="K537" s="63"/>
      <c r="L537" s="63"/>
      <c r="M537" s="63"/>
      <c r="N537" s="3"/>
      <c r="O537" s="3"/>
      <c r="P537" s="3"/>
      <c r="R537" s="4"/>
      <c r="S537" s="5"/>
      <c r="T537" s="5"/>
    </row>
    <row r="538" spans="3:20" ht="15.75" customHeight="1">
      <c r="C538" s="1"/>
      <c r="J538" s="2"/>
      <c r="K538" s="63"/>
      <c r="L538" s="63"/>
      <c r="M538" s="63"/>
      <c r="N538" s="3"/>
      <c r="O538" s="3"/>
      <c r="P538" s="3"/>
      <c r="R538" s="4"/>
      <c r="S538" s="5"/>
      <c r="T538" s="5"/>
    </row>
    <row r="539" spans="3:20" ht="15.75" customHeight="1">
      <c r="C539" s="1"/>
      <c r="J539" s="2"/>
      <c r="K539" s="63"/>
      <c r="L539" s="63"/>
      <c r="M539" s="63"/>
      <c r="N539" s="3"/>
      <c r="O539" s="3"/>
      <c r="P539" s="3"/>
      <c r="R539" s="4"/>
      <c r="S539" s="5"/>
      <c r="T539" s="5"/>
    </row>
    <row r="540" spans="3:20" ht="15.75" customHeight="1">
      <c r="C540" s="1"/>
      <c r="J540" s="2"/>
      <c r="K540" s="63"/>
      <c r="L540" s="63"/>
      <c r="M540" s="63"/>
      <c r="N540" s="3"/>
      <c r="O540" s="3"/>
      <c r="P540" s="3"/>
      <c r="R540" s="4"/>
      <c r="S540" s="5"/>
      <c r="T540" s="5"/>
    </row>
    <row r="541" spans="3:20" ht="15.75" customHeight="1">
      <c r="C541" s="1"/>
      <c r="J541" s="2"/>
      <c r="K541" s="63"/>
      <c r="L541" s="63"/>
      <c r="M541" s="63"/>
      <c r="N541" s="3"/>
      <c r="O541" s="3"/>
      <c r="P541" s="3"/>
      <c r="R541" s="4"/>
      <c r="S541" s="5"/>
      <c r="T541" s="5"/>
    </row>
    <row r="542" spans="3:20" ht="15.75" customHeight="1">
      <c r="C542" s="1"/>
      <c r="J542" s="2"/>
      <c r="K542" s="63"/>
      <c r="L542" s="63"/>
      <c r="M542" s="63"/>
      <c r="N542" s="3"/>
      <c r="O542" s="3"/>
      <c r="P542" s="3"/>
      <c r="R542" s="4"/>
      <c r="S542" s="5"/>
      <c r="T542" s="5"/>
    </row>
    <row r="543" spans="3:20" ht="15.75" customHeight="1">
      <c r="C543" s="1"/>
      <c r="J543" s="2"/>
      <c r="K543" s="63"/>
      <c r="L543" s="63"/>
      <c r="M543" s="63"/>
      <c r="N543" s="3"/>
      <c r="O543" s="3"/>
      <c r="P543" s="3"/>
      <c r="R543" s="4"/>
      <c r="S543" s="5"/>
      <c r="T543" s="5"/>
    </row>
    <row r="544" spans="3:20" ht="15.75" customHeight="1">
      <c r="C544" s="1"/>
      <c r="J544" s="2"/>
      <c r="K544" s="63"/>
      <c r="L544" s="63"/>
      <c r="M544" s="63"/>
      <c r="N544" s="3"/>
      <c r="O544" s="3"/>
      <c r="P544" s="3"/>
      <c r="R544" s="4"/>
      <c r="S544" s="5"/>
      <c r="T544" s="5"/>
    </row>
    <row r="545" spans="3:20" ht="15.75" customHeight="1">
      <c r="C545" s="1"/>
      <c r="J545" s="2"/>
      <c r="K545" s="63"/>
      <c r="L545" s="63"/>
      <c r="M545" s="63"/>
      <c r="N545" s="3"/>
      <c r="O545" s="3"/>
      <c r="P545" s="3"/>
      <c r="R545" s="4"/>
      <c r="S545" s="5"/>
      <c r="T545" s="5"/>
    </row>
    <row r="546" spans="3:20" ht="15.75" customHeight="1">
      <c r="C546" s="1"/>
      <c r="J546" s="2"/>
      <c r="K546" s="63"/>
      <c r="L546" s="63"/>
      <c r="M546" s="63"/>
      <c r="N546" s="3"/>
      <c r="O546" s="3"/>
      <c r="P546" s="3"/>
      <c r="R546" s="4"/>
      <c r="S546" s="5"/>
      <c r="T546" s="5"/>
    </row>
    <row r="547" spans="3:20" ht="15.75" customHeight="1">
      <c r="C547" s="1"/>
      <c r="J547" s="2"/>
      <c r="K547" s="63"/>
      <c r="L547" s="63"/>
      <c r="M547" s="63"/>
      <c r="N547" s="3"/>
      <c r="O547" s="3"/>
      <c r="P547" s="3"/>
      <c r="R547" s="4"/>
      <c r="S547" s="5"/>
      <c r="T547" s="5"/>
    </row>
    <row r="548" spans="3:20" ht="15.75" customHeight="1">
      <c r="C548" s="1"/>
      <c r="J548" s="2"/>
      <c r="K548" s="63"/>
      <c r="L548" s="63"/>
      <c r="M548" s="63"/>
      <c r="N548" s="3"/>
      <c r="O548" s="3"/>
      <c r="P548" s="3"/>
      <c r="R548" s="4"/>
      <c r="S548" s="5"/>
      <c r="T548" s="5"/>
    </row>
    <row r="549" spans="3:20" ht="15.75" customHeight="1">
      <c r="C549" s="1"/>
      <c r="J549" s="2"/>
      <c r="K549" s="63"/>
      <c r="L549" s="63"/>
      <c r="M549" s="63"/>
      <c r="N549" s="3"/>
      <c r="O549" s="3"/>
      <c r="P549" s="3"/>
      <c r="R549" s="4"/>
      <c r="S549" s="5"/>
      <c r="T549" s="5"/>
    </row>
    <row r="550" spans="3:20" ht="15.75" customHeight="1">
      <c r="C550" s="1"/>
      <c r="J550" s="2"/>
      <c r="K550" s="63"/>
      <c r="L550" s="63"/>
      <c r="M550" s="63"/>
      <c r="N550" s="3"/>
      <c r="O550" s="3"/>
      <c r="P550" s="3"/>
      <c r="R550" s="4"/>
      <c r="S550" s="5"/>
      <c r="T550" s="5"/>
    </row>
    <row r="551" spans="3:20" ht="15.75" customHeight="1">
      <c r="C551" s="1"/>
      <c r="J551" s="2"/>
      <c r="K551" s="63"/>
      <c r="L551" s="63"/>
      <c r="M551" s="63"/>
      <c r="N551" s="3"/>
      <c r="O551" s="3"/>
      <c r="P551" s="3"/>
      <c r="R551" s="4"/>
      <c r="S551" s="5"/>
      <c r="T551" s="5"/>
    </row>
    <row r="552" spans="3:20" ht="15.75" customHeight="1">
      <c r="C552" s="1"/>
      <c r="J552" s="2"/>
      <c r="K552" s="63"/>
      <c r="L552" s="63"/>
      <c r="M552" s="63"/>
      <c r="N552" s="3"/>
      <c r="O552" s="3"/>
      <c r="P552" s="3"/>
      <c r="R552" s="4"/>
      <c r="S552" s="5"/>
      <c r="T552" s="5"/>
    </row>
    <row r="553" spans="3:20" ht="15.75" customHeight="1">
      <c r="C553" s="1"/>
      <c r="J553" s="2"/>
      <c r="K553" s="63"/>
      <c r="L553" s="63"/>
      <c r="M553" s="63"/>
      <c r="N553" s="3"/>
      <c r="O553" s="3"/>
      <c r="P553" s="3"/>
      <c r="R553" s="4"/>
      <c r="S553" s="5"/>
      <c r="T553" s="5"/>
    </row>
    <row r="554" spans="3:20" ht="15.75" customHeight="1">
      <c r="C554" s="1"/>
      <c r="J554" s="2"/>
      <c r="K554" s="63"/>
      <c r="L554" s="63"/>
      <c r="M554" s="63"/>
      <c r="N554" s="3"/>
      <c r="O554" s="3"/>
      <c r="P554" s="3"/>
      <c r="R554" s="4"/>
      <c r="S554" s="5"/>
      <c r="T554" s="5"/>
    </row>
    <row r="555" spans="3:20" ht="15.75" customHeight="1">
      <c r="C555" s="1"/>
      <c r="J555" s="2"/>
      <c r="K555" s="63"/>
      <c r="L555" s="63"/>
      <c r="M555" s="63"/>
      <c r="N555" s="3"/>
      <c r="O555" s="3"/>
      <c r="P555" s="3"/>
      <c r="R555" s="4"/>
      <c r="S555" s="5"/>
      <c r="T555" s="5"/>
    </row>
    <row r="556" spans="3:20" ht="15.75" customHeight="1">
      <c r="C556" s="1"/>
      <c r="J556" s="2"/>
      <c r="K556" s="63"/>
      <c r="L556" s="63"/>
      <c r="M556" s="63"/>
      <c r="N556" s="3"/>
      <c r="O556" s="3"/>
      <c r="P556" s="3"/>
      <c r="R556" s="4"/>
      <c r="S556" s="5"/>
      <c r="T556" s="5"/>
    </row>
    <row r="557" spans="3:20" ht="15.75" customHeight="1">
      <c r="C557" s="1"/>
      <c r="J557" s="2"/>
      <c r="K557" s="63"/>
      <c r="L557" s="63"/>
      <c r="M557" s="63"/>
      <c r="N557" s="3"/>
      <c r="O557" s="3"/>
      <c r="P557" s="3"/>
      <c r="R557" s="4"/>
      <c r="S557" s="5"/>
      <c r="T557" s="5"/>
    </row>
    <row r="558" spans="3:20" ht="15.75" customHeight="1">
      <c r="C558" s="1"/>
      <c r="J558" s="2"/>
      <c r="K558" s="63"/>
      <c r="L558" s="63"/>
      <c r="M558" s="63"/>
      <c r="N558" s="3"/>
      <c r="O558" s="3"/>
      <c r="P558" s="3"/>
      <c r="R558" s="4"/>
      <c r="S558" s="5"/>
      <c r="T558" s="5"/>
    </row>
    <row r="559" spans="3:20" ht="15.75" customHeight="1">
      <c r="C559" s="1"/>
      <c r="J559" s="2"/>
      <c r="K559" s="63"/>
      <c r="L559" s="63"/>
      <c r="M559" s="63"/>
      <c r="N559" s="3"/>
      <c r="O559" s="3"/>
      <c r="P559" s="3"/>
      <c r="R559" s="4"/>
      <c r="S559" s="5"/>
      <c r="T559" s="5"/>
    </row>
    <row r="560" spans="3:20" ht="15.75" customHeight="1">
      <c r="C560" s="1"/>
      <c r="J560" s="2"/>
      <c r="K560" s="63"/>
      <c r="L560" s="63"/>
      <c r="M560" s="63"/>
      <c r="N560" s="3"/>
      <c r="O560" s="3"/>
      <c r="P560" s="3"/>
      <c r="R560" s="4"/>
      <c r="S560" s="5"/>
      <c r="T560" s="5"/>
    </row>
    <row r="561" spans="3:20" ht="15.75" customHeight="1">
      <c r="C561" s="1"/>
      <c r="J561" s="2"/>
      <c r="K561" s="63"/>
      <c r="L561" s="63"/>
      <c r="M561" s="63"/>
      <c r="N561" s="3"/>
      <c r="O561" s="3"/>
      <c r="P561" s="3"/>
      <c r="R561" s="4"/>
      <c r="S561" s="5"/>
      <c r="T561" s="5"/>
    </row>
    <row r="562" spans="3:20" ht="15.75" customHeight="1">
      <c r="C562" s="1"/>
      <c r="J562" s="2"/>
      <c r="K562" s="63"/>
      <c r="L562" s="63"/>
      <c r="M562" s="63"/>
      <c r="N562" s="3"/>
      <c r="O562" s="3"/>
      <c r="P562" s="3"/>
      <c r="R562" s="4"/>
      <c r="S562" s="5"/>
      <c r="T562" s="5"/>
    </row>
    <row r="563" spans="3:20" ht="15.75" customHeight="1">
      <c r="C563" s="1"/>
      <c r="J563" s="2"/>
      <c r="K563" s="63"/>
      <c r="L563" s="63"/>
      <c r="M563" s="63"/>
      <c r="N563" s="3"/>
      <c r="O563" s="3"/>
      <c r="P563" s="3"/>
      <c r="R563" s="4"/>
      <c r="S563" s="5"/>
      <c r="T563" s="5"/>
    </row>
    <row r="564" spans="3:20" ht="15.75" customHeight="1">
      <c r="C564" s="1"/>
      <c r="J564" s="2"/>
      <c r="K564" s="63"/>
      <c r="L564" s="63"/>
      <c r="M564" s="63"/>
      <c r="N564" s="3"/>
      <c r="O564" s="3"/>
      <c r="P564" s="3"/>
      <c r="R564" s="4"/>
      <c r="S564" s="5"/>
      <c r="T564" s="5"/>
    </row>
    <row r="565" spans="3:20" ht="15.75" customHeight="1">
      <c r="C565" s="1"/>
      <c r="J565" s="2"/>
      <c r="K565" s="63"/>
      <c r="L565" s="63"/>
      <c r="M565" s="63"/>
      <c r="N565" s="3"/>
      <c r="O565" s="3"/>
      <c r="P565" s="3"/>
      <c r="R565" s="4"/>
      <c r="S565" s="5"/>
      <c r="T565" s="5"/>
    </row>
    <row r="566" spans="3:20" ht="15.75" customHeight="1">
      <c r="C566" s="1"/>
      <c r="J566" s="2"/>
      <c r="K566" s="63"/>
      <c r="L566" s="63"/>
      <c r="M566" s="63"/>
      <c r="N566" s="3"/>
      <c r="O566" s="3"/>
      <c r="P566" s="3"/>
      <c r="R566" s="4"/>
      <c r="S566" s="5"/>
      <c r="T566" s="5"/>
    </row>
    <row r="567" spans="3:20" ht="15.75" customHeight="1">
      <c r="C567" s="1"/>
      <c r="J567" s="2"/>
      <c r="K567" s="63"/>
      <c r="L567" s="63"/>
      <c r="M567" s="63"/>
      <c r="N567" s="3"/>
      <c r="O567" s="3"/>
      <c r="P567" s="3"/>
      <c r="R567" s="4"/>
      <c r="S567" s="5"/>
      <c r="T567" s="5"/>
    </row>
    <row r="568" spans="3:20" ht="15.75" customHeight="1">
      <c r="C568" s="1"/>
      <c r="J568" s="2"/>
      <c r="K568" s="63"/>
      <c r="L568" s="63"/>
      <c r="M568" s="63"/>
      <c r="N568" s="3"/>
      <c r="O568" s="3"/>
      <c r="P568" s="3"/>
      <c r="R568" s="4"/>
      <c r="S568" s="5"/>
      <c r="T568" s="5"/>
    </row>
    <row r="569" spans="3:20" ht="15.75" customHeight="1">
      <c r="C569" s="1"/>
      <c r="J569" s="2"/>
      <c r="K569" s="63"/>
      <c r="L569" s="63"/>
      <c r="M569" s="63"/>
      <c r="N569" s="3"/>
      <c r="O569" s="3"/>
      <c r="P569" s="3"/>
      <c r="R569" s="4"/>
      <c r="S569" s="5"/>
      <c r="T569" s="5"/>
    </row>
    <row r="570" spans="3:20" ht="15.75" customHeight="1">
      <c r="C570" s="1"/>
      <c r="J570" s="2"/>
      <c r="K570" s="63"/>
      <c r="L570" s="63"/>
      <c r="M570" s="63"/>
      <c r="N570" s="3"/>
      <c r="O570" s="3"/>
      <c r="P570" s="3"/>
      <c r="R570" s="4"/>
      <c r="S570" s="5"/>
      <c r="T570" s="5"/>
    </row>
    <row r="571" spans="3:20" ht="15.75" customHeight="1">
      <c r="C571" s="1"/>
      <c r="J571" s="2"/>
      <c r="K571" s="63"/>
      <c r="L571" s="63"/>
      <c r="M571" s="63"/>
      <c r="N571" s="3"/>
      <c r="O571" s="3"/>
      <c r="P571" s="3"/>
      <c r="R571" s="4"/>
      <c r="S571" s="5"/>
      <c r="T571" s="5"/>
    </row>
    <row r="572" spans="3:20" ht="15.75" customHeight="1">
      <c r="C572" s="1"/>
      <c r="J572" s="2"/>
      <c r="K572" s="63"/>
      <c r="L572" s="63"/>
      <c r="M572" s="63"/>
      <c r="N572" s="3"/>
      <c r="O572" s="3"/>
      <c r="P572" s="3"/>
      <c r="R572" s="4"/>
      <c r="S572" s="5"/>
      <c r="T572" s="5"/>
    </row>
    <row r="573" spans="3:20" ht="15.75" customHeight="1">
      <c r="C573" s="1"/>
      <c r="J573" s="2"/>
      <c r="K573" s="63"/>
      <c r="L573" s="63"/>
      <c r="M573" s="63"/>
      <c r="N573" s="3"/>
      <c r="O573" s="3"/>
      <c r="P573" s="3"/>
      <c r="R573" s="4"/>
      <c r="S573" s="5"/>
      <c r="T573" s="5"/>
    </row>
    <row r="574" spans="3:20" ht="15.75" customHeight="1">
      <c r="C574" s="1"/>
      <c r="J574" s="2"/>
      <c r="K574" s="63"/>
      <c r="L574" s="63"/>
      <c r="M574" s="63"/>
      <c r="N574" s="3"/>
      <c r="O574" s="3"/>
      <c r="P574" s="3"/>
      <c r="R574" s="4"/>
      <c r="S574" s="5"/>
      <c r="T574" s="5"/>
    </row>
    <row r="575" spans="3:20" ht="15.75" customHeight="1">
      <c r="C575" s="1"/>
      <c r="J575" s="2"/>
      <c r="K575" s="63"/>
      <c r="L575" s="63"/>
      <c r="M575" s="63"/>
      <c r="N575" s="3"/>
      <c r="O575" s="3"/>
      <c r="P575" s="3"/>
      <c r="R575" s="4"/>
      <c r="S575" s="5"/>
      <c r="T575" s="5"/>
    </row>
    <row r="576" spans="3:20" ht="15.75" customHeight="1">
      <c r="C576" s="1"/>
      <c r="J576" s="2"/>
      <c r="K576" s="63"/>
      <c r="L576" s="63"/>
      <c r="M576" s="63"/>
      <c r="N576" s="3"/>
      <c r="O576" s="3"/>
      <c r="P576" s="3"/>
      <c r="R576" s="4"/>
      <c r="S576" s="5"/>
      <c r="T576" s="5"/>
    </row>
    <row r="577" spans="3:20" ht="15.75" customHeight="1">
      <c r="C577" s="1"/>
      <c r="J577" s="2"/>
      <c r="K577" s="63"/>
      <c r="L577" s="63"/>
      <c r="M577" s="63"/>
      <c r="N577" s="3"/>
      <c r="O577" s="3"/>
      <c r="P577" s="3"/>
      <c r="R577" s="4"/>
      <c r="S577" s="5"/>
      <c r="T577" s="5"/>
    </row>
    <row r="578" spans="3:20" ht="15.75" customHeight="1">
      <c r="C578" s="1"/>
      <c r="J578" s="2"/>
      <c r="K578" s="63"/>
      <c r="L578" s="63"/>
      <c r="M578" s="63"/>
      <c r="N578" s="3"/>
      <c r="O578" s="3"/>
      <c r="P578" s="3"/>
      <c r="R578" s="4"/>
      <c r="S578" s="5"/>
      <c r="T578" s="5"/>
    </row>
    <row r="579" spans="3:20" ht="15.75" customHeight="1">
      <c r="C579" s="1"/>
      <c r="J579" s="2"/>
      <c r="K579" s="63"/>
      <c r="L579" s="63"/>
      <c r="M579" s="63"/>
      <c r="N579" s="3"/>
      <c r="O579" s="3"/>
      <c r="P579" s="3"/>
      <c r="R579" s="4"/>
      <c r="S579" s="5"/>
      <c r="T579" s="5"/>
    </row>
    <row r="580" spans="3:20" ht="15.75" customHeight="1">
      <c r="C580" s="1"/>
      <c r="J580" s="2"/>
      <c r="K580" s="63"/>
      <c r="L580" s="63"/>
      <c r="M580" s="63"/>
      <c r="N580" s="3"/>
      <c r="O580" s="3"/>
      <c r="P580" s="3"/>
      <c r="R580" s="4"/>
      <c r="S580" s="5"/>
      <c r="T580" s="5"/>
    </row>
    <row r="581" spans="3:20" ht="15.75" customHeight="1">
      <c r="C581" s="1"/>
      <c r="J581" s="2"/>
      <c r="K581" s="63"/>
      <c r="L581" s="63"/>
      <c r="M581" s="63"/>
      <c r="N581" s="3"/>
      <c r="O581" s="3"/>
      <c r="P581" s="3"/>
      <c r="R581" s="4"/>
      <c r="S581" s="5"/>
      <c r="T581" s="5"/>
    </row>
    <row r="582" spans="3:20" ht="15.75" customHeight="1">
      <c r="C582" s="1"/>
      <c r="J582" s="2"/>
      <c r="K582" s="63"/>
      <c r="L582" s="63"/>
      <c r="M582" s="63"/>
      <c r="N582" s="3"/>
      <c r="O582" s="3"/>
      <c r="P582" s="3"/>
      <c r="R582" s="4"/>
      <c r="S582" s="5"/>
      <c r="T582" s="5"/>
    </row>
    <row r="583" spans="3:20" ht="15.75" customHeight="1">
      <c r="C583" s="1"/>
      <c r="J583" s="2"/>
      <c r="K583" s="63"/>
      <c r="L583" s="63"/>
      <c r="M583" s="63"/>
      <c r="N583" s="3"/>
      <c r="O583" s="3"/>
      <c r="P583" s="3"/>
      <c r="R583" s="4"/>
      <c r="S583" s="5"/>
      <c r="T583" s="5"/>
    </row>
    <row r="584" spans="3:20" ht="15.75" customHeight="1">
      <c r="C584" s="1"/>
      <c r="J584" s="2"/>
      <c r="K584" s="63"/>
      <c r="L584" s="63"/>
      <c r="M584" s="63"/>
      <c r="N584" s="3"/>
      <c r="O584" s="3"/>
      <c r="P584" s="3"/>
      <c r="R584" s="4"/>
      <c r="S584" s="5"/>
      <c r="T584" s="5"/>
    </row>
    <row r="585" spans="3:20" ht="15.75" customHeight="1">
      <c r="C585" s="1"/>
      <c r="J585" s="2"/>
      <c r="K585" s="63"/>
      <c r="L585" s="63"/>
      <c r="M585" s="63"/>
      <c r="N585" s="3"/>
      <c r="O585" s="3"/>
      <c r="P585" s="3"/>
      <c r="R585" s="4"/>
      <c r="S585" s="5"/>
      <c r="T585" s="5"/>
    </row>
    <row r="586" spans="3:20" ht="15.75" customHeight="1">
      <c r="C586" s="1"/>
      <c r="J586" s="2"/>
      <c r="K586" s="63"/>
      <c r="L586" s="63"/>
      <c r="M586" s="63"/>
      <c r="N586" s="3"/>
      <c r="O586" s="3"/>
      <c r="P586" s="3"/>
      <c r="R586" s="4"/>
      <c r="S586" s="5"/>
      <c r="T586" s="5"/>
    </row>
    <row r="587" spans="3:20" ht="15.75" customHeight="1">
      <c r="C587" s="1"/>
      <c r="J587" s="2"/>
      <c r="K587" s="63"/>
      <c r="L587" s="63"/>
      <c r="M587" s="63"/>
      <c r="N587" s="3"/>
      <c r="O587" s="3"/>
      <c r="P587" s="3"/>
      <c r="R587" s="4"/>
      <c r="S587" s="5"/>
      <c r="T587" s="5"/>
    </row>
    <row r="588" spans="3:20" ht="15.75" customHeight="1">
      <c r="C588" s="1"/>
      <c r="J588" s="2"/>
      <c r="K588" s="63"/>
      <c r="L588" s="63"/>
      <c r="M588" s="63"/>
      <c r="N588" s="3"/>
      <c r="O588" s="3"/>
      <c r="P588" s="3"/>
      <c r="R588" s="4"/>
      <c r="S588" s="5"/>
      <c r="T588" s="5"/>
    </row>
    <row r="589" spans="3:20" ht="15.75" customHeight="1">
      <c r="C589" s="1"/>
      <c r="J589" s="2"/>
      <c r="K589" s="63"/>
      <c r="L589" s="63"/>
      <c r="M589" s="63"/>
      <c r="N589" s="3"/>
      <c r="O589" s="3"/>
      <c r="P589" s="3"/>
      <c r="R589" s="4"/>
      <c r="S589" s="5"/>
      <c r="T589" s="5"/>
    </row>
    <row r="590" spans="3:20" ht="15.75" customHeight="1">
      <c r="C590" s="1"/>
      <c r="J590" s="2"/>
      <c r="K590" s="63"/>
      <c r="L590" s="63"/>
      <c r="M590" s="63"/>
      <c r="N590" s="3"/>
      <c r="O590" s="3"/>
      <c r="P590" s="3"/>
      <c r="R590" s="4"/>
      <c r="S590" s="5"/>
      <c r="T590" s="5"/>
    </row>
    <row r="591" spans="3:20" ht="15.75" customHeight="1">
      <c r="C591" s="1"/>
      <c r="J591" s="2"/>
      <c r="K591" s="63"/>
      <c r="L591" s="63"/>
      <c r="M591" s="63"/>
      <c r="N591" s="3"/>
      <c r="O591" s="3"/>
      <c r="P591" s="3"/>
      <c r="R591" s="4"/>
      <c r="S591" s="5"/>
      <c r="T591" s="5"/>
    </row>
    <row r="592" spans="3:20" ht="15.75" customHeight="1">
      <c r="C592" s="1"/>
      <c r="J592" s="2"/>
      <c r="K592" s="63"/>
      <c r="L592" s="63"/>
      <c r="M592" s="63"/>
      <c r="N592" s="3"/>
      <c r="O592" s="3"/>
      <c r="P592" s="3"/>
      <c r="R592" s="4"/>
      <c r="S592" s="5"/>
      <c r="T592" s="5"/>
    </row>
    <row r="593" spans="3:20" ht="15.75" customHeight="1">
      <c r="C593" s="1"/>
      <c r="J593" s="2"/>
      <c r="K593" s="63"/>
      <c r="L593" s="63"/>
      <c r="M593" s="63"/>
      <c r="N593" s="3"/>
      <c r="O593" s="3"/>
      <c r="P593" s="3"/>
      <c r="R593" s="4"/>
      <c r="S593" s="5"/>
      <c r="T593" s="5"/>
    </row>
    <row r="594" spans="3:20" ht="15.75" customHeight="1">
      <c r="C594" s="1"/>
      <c r="J594" s="2"/>
      <c r="K594" s="63"/>
      <c r="L594" s="63"/>
      <c r="M594" s="63"/>
      <c r="N594" s="3"/>
      <c r="O594" s="3"/>
      <c r="P594" s="3"/>
      <c r="R594" s="4"/>
      <c r="S594" s="5"/>
      <c r="T594" s="5"/>
    </row>
    <row r="595" spans="3:20" ht="15.75" customHeight="1">
      <c r="C595" s="1"/>
      <c r="J595" s="2"/>
      <c r="K595" s="63"/>
      <c r="L595" s="63"/>
      <c r="M595" s="63"/>
      <c r="N595" s="3"/>
      <c r="O595" s="3"/>
      <c r="P595" s="3"/>
      <c r="R595" s="4"/>
      <c r="S595" s="5"/>
      <c r="T595" s="5"/>
    </row>
    <row r="596" spans="3:20" ht="15.75" customHeight="1">
      <c r="C596" s="1"/>
      <c r="J596" s="2"/>
      <c r="K596" s="63"/>
      <c r="L596" s="63"/>
      <c r="M596" s="63"/>
      <c r="N596" s="3"/>
      <c r="O596" s="3"/>
      <c r="P596" s="3"/>
      <c r="R596" s="4"/>
      <c r="S596" s="5"/>
      <c r="T596" s="5"/>
    </row>
    <row r="597" spans="3:20" ht="15.75" customHeight="1">
      <c r="C597" s="1"/>
      <c r="J597" s="2"/>
      <c r="K597" s="63"/>
      <c r="L597" s="63"/>
      <c r="M597" s="63"/>
      <c r="N597" s="3"/>
      <c r="O597" s="3"/>
      <c r="P597" s="3"/>
      <c r="R597" s="4"/>
      <c r="S597" s="5"/>
      <c r="T597" s="5"/>
    </row>
    <row r="598" spans="3:20" ht="15.75" customHeight="1">
      <c r="C598" s="1"/>
      <c r="J598" s="2"/>
      <c r="K598" s="63"/>
      <c r="L598" s="63"/>
      <c r="M598" s="63"/>
      <c r="N598" s="3"/>
      <c r="O598" s="3"/>
      <c r="P598" s="3"/>
      <c r="R598" s="4"/>
      <c r="S598" s="5"/>
      <c r="T598" s="5"/>
    </row>
    <row r="599" spans="3:20" ht="15.75" customHeight="1">
      <c r="C599" s="1"/>
      <c r="J599" s="2"/>
      <c r="K599" s="63"/>
      <c r="L599" s="63"/>
      <c r="M599" s="63"/>
      <c r="N599" s="3"/>
      <c r="O599" s="3"/>
      <c r="P599" s="3"/>
      <c r="R599" s="4"/>
      <c r="S599" s="5"/>
      <c r="T599" s="5"/>
    </row>
    <row r="600" spans="3:20" ht="15.75" customHeight="1">
      <c r="C600" s="1"/>
      <c r="J600" s="2"/>
      <c r="K600" s="63"/>
      <c r="L600" s="63"/>
      <c r="M600" s="63"/>
      <c r="N600" s="3"/>
      <c r="O600" s="3"/>
      <c r="P600" s="3"/>
      <c r="R600" s="4"/>
      <c r="S600" s="5"/>
      <c r="T600" s="5"/>
    </row>
    <row r="601" spans="3:20" ht="15.75" customHeight="1">
      <c r="C601" s="1"/>
      <c r="J601" s="2"/>
      <c r="K601" s="63"/>
      <c r="L601" s="63"/>
      <c r="M601" s="63"/>
      <c r="N601" s="3"/>
      <c r="O601" s="3"/>
      <c r="P601" s="3"/>
      <c r="R601" s="4"/>
      <c r="S601" s="5"/>
      <c r="T601" s="5"/>
    </row>
    <row r="602" spans="3:20" ht="15.75" customHeight="1">
      <c r="C602" s="1"/>
      <c r="J602" s="2"/>
      <c r="K602" s="63"/>
      <c r="L602" s="63"/>
      <c r="M602" s="63"/>
      <c r="N602" s="3"/>
      <c r="O602" s="3"/>
      <c r="P602" s="3"/>
      <c r="R602" s="4"/>
      <c r="S602" s="5"/>
      <c r="T602" s="5"/>
    </row>
    <row r="603" spans="3:20" ht="15.75" customHeight="1">
      <c r="C603" s="1"/>
      <c r="J603" s="2"/>
      <c r="K603" s="63"/>
      <c r="L603" s="63"/>
      <c r="M603" s="63"/>
      <c r="N603" s="3"/>
      <c r="O603" s="3"/>
      <c r="P603" s="3"/>
      <c r="R603" s="4"/>
      <c r="S603" s="5"/>
      <c r="T603" s="5"/>
    </row>
    <row r="604" spans="3:20" ht="15.75" customHeight="1">
      <c r="C604" s="1"/>
      <c r="J604" s="2"/>
      <c r="K604" s="63"/>
      <c r="L604" s="63"/>
      <c r="M604" s="63"/>
      <c r="N604" s="3"/>
      <c r="O604" s="3"/>
      <c r="P604" s="3"/>
      <c r="R604" s="4"/>
      <c r="S604" s="5"/>
      <c r="T604" s="5"/>
    </row>
    <row r="605" spans="3:20" ht="15.75" customHeight="1">
      <c r="C605" s="1"/>
      <c r="J605" s="2"/>
      <c r="K605" s="63"/>
      <c r="L605" s="63"/>
      <c r="M605" s="63"/>
      <c r="N605" s="3"/>
      <c r="O605" s="3"/>
      <c r="P605" s="3"/>
      <c r="R605" s="4"/>
      <c r="S605" s="5"/>
      <c r="T605" s="5"/>
    </row>
    <row r="606" spans="3:20" ht="15.75" customHeight="1">
      <c r="C606" s="1"/>
      <c r="J606" s="2"/>
      <c r="K606" s="63"/>
      <c r="L606" s="63"/>
      <c r="M606" s="63"/>
      <c r="N606" s="3"/>
      <c r="O606" s="3"/>
      <c r="P606" s="3"/>
      <c r="R606" s="4"/>
      <c r="S606" s="5"/>
      <c r="T606" s="5"/>
    </row>
    <row r="607" spans="3:20" ht="15.75" customHeight="1">
      <c r="C607" s="1"/>
      <c r="J607" s="2"/>
      <c r="K607" s="63"/>
      <c r="L607" s="63"/>
      <c r="M607" s="63"/>
      <c r="N607" s="3"/>
      <c r="O607" s="3"/>
      <c r="P607" s="3"/>
      <c r="R607" s="4"/>
      <c r="S607" s="5"/>
      <c r="T607" s="5"/>
    </row>
    <row r="608" spans="3:20" ht="15.75" customHeight="1">
      <c r="C608" s="1"/>
      <c r="J608" s="2"/>
      <c r="K608" s="63"/>
      <c r="L608" s="63"/>
      <c r="M608" s="63"/>
      <c r="N608" s="3"/>
      <c r="O608" s="3"/>
      <c r="P608" s="3"/>
      <c r="R608" s="4"/>
      <c r="S608" s="5"/>
      <c r="T608" s="5"/>
    </row>
    <row r="609" spans="3:20" ht="15.75" customHeight="1">
      <c r="C609" s="1"/>
      <c r="J609" s="2"/>
      <c r="K609" s="63"/>
      <c r="L609" s="63"/>
      <c r="M609" s="63"/>
      <c r="N609" s="3"/>
      <c r="O609" s="3"/>
      <c r="P609" s="3"/>
      <c r="R609" s="4"/>
      <c r="S609" s="5"/>
      <c r="T609" s="5"/>
    </row>
    <row r="610" spans="3:20" ht="15.75" customHeight="1">
      <c r="C610" s="1"/>
      <c r="J610" s="2"/>
      <c r="K610" s="63"/>
      <c r="L610" s="63"/>
      <c r="M610" s="63"/>
      <c r="N610" s="3"/>
      <c r="O610" s="3"/>
      <c r="P610" s="3"/>
      <c r="R610" s="4"/>
      <c r="S610" s="5"/>
      <c r="T610" s="5"/>
    </row>
    <row r="611" spans="3:20" ht="15.75" customHeight="1">
      <c r="C611" s="1"/>
      <c r="J611" s="2"/>
      <c r="K611" s="63"/>
      <c r="L611" s="63"/>
      <c r="M611" s="63"/>
      <c r="N611" s="3"/>
      <c r="O611" s="3"/>
      <c r="P611" s="3"/>
      <c r="R611" s="4"/>
      <c r="S611" s="5"/>
      <c r="T611" s="5"/>
    </row>
    <row r="612" spans="3:20" ht="15.75" customHeight="1">
      <c r="C612" s="1"/>
      <c r="J612" s="2"/>
      <c r="K612" s="63"/>
      <c r="L612" s="63"/>
      <c r="M612" s="63"/>
      <c r="N612" s="3"/>
      <c r="O612" s="3"/>
      <c r="P612" s="3"/>
      <c r="R612" s="4"/>
      <c r="S612" s="5"/>
      <c r="T612" s="5"/>
    </row>
    <row r="613" spans="3:20" ht="15.75" customHeight="1">
      <c r="C613" s="1"/>
      <c r="J613" s="2"/>
      <c r="K613" s="63"/>
      <c r="L613" s="63"/>
      <c r="M613" s="63"/>
      <c r="N613" s="3"/>
      <c r="O613" s="3"/>
      <c r="P613" s="3"/>
      <c r="R613" s="4"/>
      <c r="S613" s="5"/>
      <c r="T613" s="5"/>
    </row>
    <row r="614" spans="3:20" ht="15.75" customHeight="1">
      <c r="C614" s="1"/>
      <c r="J614" s="2"/>
      <c r="K614" s="63"/>
      <c r="L614" s="63"/>
      <c r="M614" s="63"/>
      <c r="N614" s="3"/>
      <c r="O614" s="3"/>
      <c r="P614" s="3"/>
      <c r="R614" s="4"/>
      <c r="S614" s="5"/>
      <c r="T614" s="5"/>
    </row>
    <row r="615" spans="3:20" ht="15.75" customHeight="1">
      <c r="C615" s="1"/>
      <c r="J615" s="2"/>
      <c r="K615" s="63"/>
      <c r="L615" s="63"/>
      <c r="M615" s="63"/>
      <c r="N615" s="3"/>
      <c r="O615" s="3"/>
      <c r="P615" s="3"/>
      <c r="R615" s="4"/>
      <c r="S615" s="5"/>
      <c r="T615" s="5"/>
    </row>
    <row r="616" spans="3:20" ht="15.75" customHeight="1">
      <c r="C616" s="1"/>
      <c r="J616" s="2"/>
      <c r="K616" s="63"/>
      <c r="L616" s="63"/>
      <c r="M616" s="63"/>
      <c r="N616" s="3"/>
      <c r="O616" s="3"/>
      <c r="P616" s="3"/>
      <c r="R616" s="4"/>
      <c r="S616" s="5"/>
      <c r="T616" s="5"/>
    </row>
    <row r="617" spans="3:20" ht="15.75" customHeight="1">
      <c r="C617" s="1"/>
      <c r="J617" s="2"/>
      <c r="K617" s="63"/>
      <c r="L617" s="63"/>
      <c r="M617" s="63"/>
      <c r="N617" s="3"/>
      <c r="O617" s="3"/>
      <c r="P617" s="3"/>
      <c r="R617" s="4"/>
      <c r="S617" s="5"/>
      <c r="T617" s="5"/>
    </row>
    <row r="618" spans="3:20" ht="15.75" customHeight="1">
      <c r="C618" s="1"/>
      <c r="J618" s="2"/>
      <c r="K618" s="63"/>
      <c r="L618" s="63"/>
      <c r="M618" s="63"/>
      <c r="N618" s="3"/>
      <c r="O618" s="3"/>
      <c r="P618" s="3"/>
      <c r="R618" s="4"/>
      <c r="S618" s="5"/>
      <c r="T618" s="5"/>
    </row>
    <row r="619" spans="3:20" ht="15.75" customHeight="1">
      <c r="C619" s="1"/>
      <c r="J619" s="2"/>
      <c r="K619" s="63"/>
      <c r="L619" s="63"/>
      <c r="M619" s="63"/>
      <c r="N619" s="3"/>
      <c r="O619" s="3"/>
      <c r="P619" s="3"/>
      <c r="R619" s="4"/>
      <c r="S619" s="5"/>
      <c r="T619" s="5"/>
    </row>
    <row r="620" spans="3:20" ht="15.75" customHeight="1">
      <c r="C620" s="1"/>
      <c r="J620" s="2"/>
      <c r="K620" s="63"/>
      <c r="L620" s="63"/>
      <c r="M620" s="63"/>
      <c r="N620" s="3"/>
      <c r="O620" s="3"/>
      <c r="P620" s="3"/>
      <c r="R620" s="4"/>
      <c r="S620" s="5"/>
      <c r="T620" s="5"/>
    </row>
    <row r="621" spans="3:20" ht="15.75" customHeight="1">
      <c r="C621" s="1"/>
      <c r="J621" s="2"/>
      <c r="K621" s="63"/>
      <c r="L621" s="63"/>
      <c r="M621" s="63"/>
      <c r="N621" s="3"/>
      <c r="O621" s="3"/>
      <c r="P621" s="3"/>
      <c r="R621" s="4"/>
      <c r="S621" s="5"/>
      <c r="T621" s="5"/>
    </row>
    <row r="622" spans="3:20" ht="15.75" customHeight="1">
      <c r="C622" s="1"/>
      <c r="J622" s="2"/>
      <c r="K622" s="63"/>
      <c r="L622" s="63"/>
      <c r="M622" s="63"/>
      <c r="N622" s="3"/>
      <c r="O622" s="3"/>
      <c r="P622" s="3"/>
      <c r="R622" s="4"/>
      <c r="S622" s="5"/>
      <c r="T622" s="5"/>
    </row>
    <row r="623" spans="3:20" ht="15.75" customHeight="1">
      <c r="C623" s="1"/>
      <c r="J623" s="2"/>
      <c r="K623" s="63"/>
      <c r="L623" s="63"/>
      <c r="M623" s="63"/>
      <c r="N623" s="3"/>
      <c r="O623" s="3"/>
      <c r="P623" s="3"/>
      <c r="R623" s="4"/>
      <c r="S623" s="5"/>
      <c r="T623" s="5"/>
    </row>
    <row r="624" spans="3:20" ht="15.75" customHeight="1">
      <c r="C624" s="1"/>
      <c r="J624" s="2"/>
      <c r="K624" s="63"/>
      <c r="L624" s="63"/>
      <c r="M624" s="63"/>
      <c r="N624" s="3"/>
      <c r="O624" s="3"/>
      <c r="P624" s="3"/>
      <c r="R624" s="4"/>
      <c r="S624" s="5"/>
      <c r="T624" s="5"/>
    </row>
    <row r="625" spans="3:20" ht="15.75" customHeight="1">
      <c r="C625" s="1"/>
      <c r="J625" s="2"/>
      <c r="K625" s="63"/>
      <c r="L625" s="63"/>
      <c r="M625" s="63"/>
      <c r="N625" s="3"/>
      <c r="O625" s="3"/>
      <c r="P625" s="3"/>
      <c r="R625" s="4"/>
      <c r="S625" s="5"/>
      <c r="T625" s="5"/>
    </row>
    <row r="626" spans="3:20" ht="15.75" customHeight="1">
      <c r="C626" s="1"/>
      <c r="J626" s="2"/>
      <c r="K626" s="63"/>
      <c r="L626" s="63"/>
      <c r="M626" s="63"/>
      <c r="N626" s="3"/>
      <c r="O626" s="3"/>
      <c r="P626" s="3"/>
      <c r="R626" s="4"/>
      <c r="S626" s="5"/>
      <c r="T626" s="5"/>
    </row>
    <row r="627" spans="3:20" ht="15.75" customHeight="1">
      <c r="C627" s="1"/>
      <c r="J627" s="2"/>
      <c r="K627" s="63"/>
      <c r="L627" s="63"/>
      <c r="M627" s="63"/>
      <c r="N627" s="3"/>
      <c r="O627" s="3"/>
      <c r="P627" s="3"/>
      <c r="R627" s="4"/>
      <c r="S627" s="5"/>
      <c r="T627" s="5"/>
    </row>
    <row r="628" spans="3:20" ht="15.75" customHeight="1">
      <c r="C628" s="1"/>
      <c r="J628" s="2"/>
      <c r="K628" s="63"/>
      <c r="L628" s="63"/>
      <c r="M628" s="63"/>
      <c r="N628" s="3"/>
      <c r="O628" s="3"/>
      <c r="P628" s="3"/>
      <c r="R628" s="4"/>
      <c r="S628" s="5"/>
      <c r="T628" s="5"/>
    </row>
    <row r="629" spans="3:20" ht="15.75" customHeight="1">
      <c r="C629" s="1"/>
      <c r="J629" s="2"/>
      <c r="K629" s="63"/>
      <c r="L629" s="63"/>
      <c r="M629" s="63"/>
      <c r="N629" s="3"/>
      <c r="O629" s="3"/>
      <c r="P629" s="3"/>
      <c r="R629" s="4"/>
      <c r="S629" s="5"/>
      <c r="T629" s="5"/>
    </row>
    <row r="630" spans="3:20" ht="15.75" customHeight="1">
      <c r="C630" s="1"/>
      <c r="J630" s="2"/>
      <c r="K630" s="63"/>
      <c r="L630" s="63"/>
      <c r="M630" s="63"/>
      <c r="N630" s="3"/>
      <c r="O630" s="3"/>
      <c r="P630" s="3"/>
      <c r="R630" s="4"/>
      <c r="S630" s="5"/>
      <c r="T630" s="5"/>
    </row>
    <row r="631" spans="3:20" ht="15.75" customHeight="1">
      <c r="C631" s="1"/>
      <c r="J631" s="2"/>
      <c r="K631" s="63"/>
      <c r="L631" s="63"/>
      <c r="M631" s="63"/>
      <c r="N631" s="3"/>
      <c r="O631" s="3"/>
      <c r="P631" s="3"/>
      <c r="R631" s="4"/>
      <c r="S631" s="5"/>
      <c r="T631" s="5"/>
    </row>
    <row r="632" spans="3:20" ht="15.75" customHeight="1">
      <c r="C632" s="1"/>
      <c r="J632" s="2"/>
      <c r="K632" s="63"/>
      <c r="L632" s="63"/>
      <c r="M632" s="63"/>
      <c r="N632" s="3"/>
      <c r="O632" s="3"/>
      <c r="P632" s="3"/>
      <c r="R632" s="4"/>
      <c r="S632" s="5"/>
      <c r="T632" s="5"/>
    </row>
    <row r="633" spans="3:20" ht="15.75" customHeight="1">
      <c r="C633" s="1"/>
      <c r="J633" s="2"/>
      <c r="K633" s="63"/>
      <c r="L633" s="63"/>
      <c r="M633" s="63"/>
      <c r="N633" s="3"/>
      <c r="O633" s="3"/>
      <c r="P633" s="3"/>
      <c r="R633" s="4"/>
      <c r="S633" s="5"/>
      <c r="T633" s="5"/>
    </row>
    <row r="634" spans="3:20" ht="15.75" customHeight="1">
      <c r="C634" s="1"/>
      <c r="J634" s="2"/>
      <c r="K634" s="63"/>
      <c r="L634" s="63"/>
      <c r="M634" s="63"/>
      <c r="N634" s="3"/>
      <c r="O634" s="3"/>
      <c r="P634" s="3"/>
      <c r="R634" s="4"/>
      <c r="S634" s="5"/>
      <c r="T634" s="5"/>
    </row>
    <row r="635" spans="3:20" ht="15.75" customHeight="1">
      <c r="C635" s="1"/>
      <c r="J635" s="2"/>
      <c r="K635" s="63"/>
      <c r="L635" s="63"/>
      <c r="M635" s="63"/>
      <c r="N635" s="3"/>
      <c r="O635" s="3"/>
      <c r="P635" s="3"/>
      <c r="R635" s="4"/>
      <c r="S635" s="5"/>
      <c r="T635" s="5"/>
    </row>
    <row r="636" spans="3:20" ht="15.75" customHeight="1">
      <c r="C636" s="1"/>
      <c r="J636" s="2"/>
      <c r="K636" s="63"/>
      <c r="L636" s="63"/>
      <c r="M636" s="63"/>
      <c r="N636" s="3"/>
      <c r="O636" s="3"/>
      <c r="P636" s="3"/>
      <c r="R636" s="4"/>
      <c r="S636" s="5"/>
      <c r="T636" s="5"/>
    </row>
    <row r="637" spans="3:20" ht="15.75" customHeight="1">
      <c r="C637" s="1"/>
      <c r="J637" s="2"/>
      <c r="K637" s="63"/>
      <c r="L637" s="63"/>
      <c r="M637" s="63"/>
      <c r="N637" s="3"/>
      <c r="O637" s="3"/>
      <c r="P637" s="3"/>
      <c r="R637" s="4"/>
      <c r="S637" s="5"/>
      <c r="T637" s="5"/>
    </row>
    <row r="638" spans="3:20" ht="15.75" customHeight="1">
      <c r="C638" s="1"/>
      <c r="J638" s="2"/>
      <c r="K638" s="63"/>
      <c r="L638" s="63"/>
      <c r="M638" s="63"/>
      <c r="N638" s="3"/>
      <c r="O638" s="3"/>
      <c r="P638" s="3"/>
      <c r="R638" s="4"/>
      <c r="S638" s="5"/>
      <c r="T638" s="5"/>
    </row>
    <row r="639" spans="3:20" ht="15.75" customHeight="1">
      <c r="C639" s="1"/>
      <c r="J639" s="2"/>
      <c r="K639" s="63"/>
      <c r="L639" s="63"/>
      <c r="M639" s="63"/>
      <c r="N639" s="3"/>
      <c r="O639" s="3"/>
      <c r="P639" s="3"/>
      <c r="R639" s="4"/>
      <c r="S639" s="5"/>
      <c r="T639" s="5"/>
    </row>
    <row r="640" spans="3:20" ht="15.75" customHeight="1">
      <c r="C640" s="1"/>
      <c r="J640" s="2"/>
      <c r="K640" s="63"/>
      <c r="L640" s="63"/>
      <c r="M640" s="63"/>
      <c r="N640" s="3"/>
      <c r="O640" s="3"/>
      <c r="P640" s="3"/>
      <c r="R640" s="4"/>
      <c r="S640" s="5"/>
      <c r="T640" s="5"/>
    </row>
    <row r="641" spans="3:20" ht="15.75" customHeight="1">
      <c r="C641" s="1"/>
      <c r="J641" s="2"/>
      <c r="K641" s="63"/>
      <c r="L641" s="63"/>
      <c r="M641" s="63"/>
      <c r="N641" s="3"/>
      <c r="O641" s="3"/>
      <c r="P641" s="3"/>
      <c r="R641" s="4"/>
      <c r="S641" s="5"/>
      <c r="T641" s="5"/>
    </row>
    <row r="642" spans="3:20" ht="15.75" customHeight="1">
      <c r="C642" s="1"/>
      <c r="J642" s="2"/>
      <c r="K642" s="63"/>
      <c r="L642" s="63"/>
      <c r="M642" s="63"/>
      <c r="N642" s="3"/>
      <c r="O642" s="3"/>
      <c r="P642" s="3"/>
      <c r="R642" s="4"/>
      <c r="S642" s="5"/>
      <c r="T642" s="5"/>
    </row>
    <row r="643" spans="3:20" ht="15.75" customHeight="1">
      <c r="C643" s="1"/>
      <c r="J643" s="2"/>
      <c r="K643" s="63"/>
      <c r="L643" s="63"/>
      <c r="M643" s="63"/>
      <c r="N643" s="3"/>
      <c r="O643" s="3"/>
      <c r="P643" s="3"/>
      <c r="R643" s="4"/>
      <c r="S643" s="5"/>
      <c r="T643" s="5"/>
    </row>
    <row r="644" spans="3:20" ht="15.75" customHeight="1">
      <c r="C644" s="1"/>
      <c r="J644" s="2"/>
      <c r="K644" s="63"/>
      <c r="L644" s="63"/>
      <c r="M644" s="63"/>
      <c r="N644" s="3"/>
      <c r="O644" s="3"/>
      <c r="P644" s="3"/>
      <c r="R644" s="4"/>
      <c r="S644" s="5"/>
      <c r="T644" s="5"/>
    </row>
    <row r="645" spans="3:20" ht="15.75" customHeight="1">
      <c r="C645" s="1"/>
      <c r="J645" s="2"/>
      <c r="K645" s="63"/>
      <c r="L645" s="63"/>
      <c r="M645" s="63"/>
      <c r="N645" s="3"/>
      <c r="O645" s="3"/>
      <c r="P645" s="3"/>
      <c r="R645" s="4"/>
      <c r="S645" s="5"/>
      <c r="T645" s="5"/>
    </row>
    <row r="646" spans="3:20" ht="15.75" customHeight="1">
      <c r="C646" s="1"/>
      <c r="J646" s="2"/>
      <c r="K646" s="63"/>
      <c r="L646" s="63"/>
      <c r="M646" s="63"/>
      <c r="N646" s="3"/>
      <c r="O646" s="3"/>
      <c r="P646" s="3"/>
      <c r="R646" s="4"/>
      <c r="S646" s="5"/>
      <c r="T646" s="5"/>
    </row>
    <row r="647" spans="3:20" ht="15.75" customHeight="1">
      <c r="C647" s="1"/>
      <c r="J647" s="2"/>
      <c r="K647" s="63"/>
      <c r="L647" s="63"/>
      <c r="M647" s="63"/>
      <c r="N647" s="3"/>
      <c r="O647" s="3"/>
      <c r="P647" s="3"/>
      <c r="R647" s="4"/>
      <c r="S647" s="5"/>
      <c r="T647" s="5"/>
    </row>
    <row r="648" spans="3:20" ht="15.75" customHeight="1">
      <c r="C648" s="1"/>
      <c r="J648" s="2"/>
      <c r="K648" s="63"/>
      <c r="L648" s="63"/>
      <c r="M648" s="63"/>
      <c r="N648" s="3"/>
      <c r="O648" s="3"/>
      <c r="P648" s="3"/>
      <c r="R648" s="4"/>
      <c r="S648" s="5"/>
      <c r="T648" s="5"/>
    </row>
    <row r="649" spans="3:20" ht="15.75" customHeight="1">
      <c r="C649" s="1"/>
      <c r="J649" s="2"/>
      <c r="K649" s="63"/>
      <c r="L649" s="63"/>
      <c r="M649" s="63"/>
      <c r="N649" s="3"/>
      <c r="O649" s="3"/>
      <c r="P649" s="3"/>
      <c r="R649" s="4"/>
      <c r="S649" s="5"/>
      <c r="T649" s="5"/>
    </row>
    <row r="650" spans="3:20" ht="15.75" customHeight="1">
      <c r="C650" s="1"/>
      <c r="J650" s="2"/>
      <c r="K650" s="63"/>
      <c r="L650" s="63"/>
      <c r="M650" s="63"/>
      <c r="N650" s="3"/>
      <c r="O650" s="3"/>
      <c r="P650" s="3"/>
      <c r="R650" s="4"/>
      <c r="S650" s="5"/>
      <c r="T650" s="5"/>
    </row>
    <row r="651" spans="3:20" ht="15.75" customHeight="1">
      <c r="C651" s="1"/>
      <c r="J651" s="2"/>
      <c r="K651" s="63"/>
      <c r="L651" s="63"/>
      <c r="M651" s="63"/>
      <c r="N651" s="3"/>
      <c r="O651" s="3"/>
      <c r="P651" s="3"/>
      <c r="R651" s="4"/>
      <c r="S651" s="5"/>
      <c r="T651" s="5"/>
    </row>
    <row r="652" spans="3:20" ht="15.75" customHeight="1">
      <c r="C652" s="1"/>
      <c r="J652" s="2"/>
      <c r="K652" s="63"/>
      <c r="L652" s="63"/>
      <c r="M652" s="63"/>
      <c r="N652" s="3"/>
      <c r="O652" s="3"/>
      <c r="P652" s="3"/>
      <c r="R652" s="4"/>
      <c r="S652" s="5"/>
      <c r="T652" s="5"/>
    </row>
    <row r="653" spans="3:20" ht="15.75" customHeight="1">
      <c r="C653" s="1"/>
      <c r="J653" s="2"/>
      <c r="K653" s="63"/>
      <c r="L653" s="63"/>
      <c r="M653" s="63"/>
      <c r="N653" s="3"/>
      <c r="O653" s="3"/>
      <c r="P653" s="3"/>
      <c r="R653" s="4"/>
      <c r="S653" s="5"/>
      <c r="T653" s="5"/>
    </row>
    <row r="654" spans="3:20" ht="15.75" customHeight="1">
      <c r="C654" s="1"/>
      <c r="J654" s="2"/>
      <c r="K654" s="63"/>
      <c r="L654" s="63"/>
      <c r="M654" s="63"/>
      <c r="N654" s="3"/>
      <c r="O654" s="3"/>
      <c r="P654" s="3"/>
      <c r="R654" s="4"/>
      <c r="S654" s="5"/>
      <c r="T654" s="5"/>
    </row>
    <row r="655" spans="3:20" ht="15.75" customHeight="1">
      <c r="C655" s="1"/>
      <c r="J655" s="2"/>
      <c r="K655" s="63"/>
      <c r="L655" s="63"/>
      <c r="M655" s="63"/>
      <c r="N655" s="3"/>
      <c r="O655" s="3"/>
      <c r="P655" s="3"/>
      <c r="R655" s="4"/>
      <c r="S655" s="5"/>
      <c r="T655" s="5"/>
    </row>
    <row r="656" spans="3:20" ht="15.75" customHeight="1">
      <c r="C656" s="1"/>
      <c r="J656" s="2"/>
      <c r="K656" s="63"/>
      <c r="L656" s="63"/>
      <c r="M656" s="63"/>
      <c r="N656" s="3"/>
      <c r="O656" s="3"/>
      <c r="P656" s="3"/>
      <c r="R656" s="4"/>
      <c r="S656" s="5"/>
      <c r="T656" s="5"/>
    </row>
    <row r="657" spans="3:20" ht="15.75" customHeight="1">
      <c r="C657" s="1"/>
      <c r="J657" s="2"/>
      <c r="K657" s="63"/>
      <c r="L657" s="63"/>
      <c r="M657" s="63"/>
      <c r="N657" s="3"/>
      <c r="O657" s="3"/>
      <c r="P657" s="3"/>
      <c r="R657" s="4"/>
      <c r="S657" s="5"/>
      <c r="T657" s="5"/>
    </row>
    <row r="658" spans="3:20" ht="15.75" customHeight="1">
      <c r="C658" s="1"/>
      <c r="J658" s="2"/>
      <c r="K658" s="63"/>
      <c r="L658" s="63"/>
      <c r="M658" s="63"/>
      <c r="N658" s="3"/>
      <c r="O658" s="3"/>
      <c r="P658" s="3"/>
      <c r="R658" s="4"/>
      <c r="S658" s="5"/>
      <c r="T658" s="5"/>
    </row>
    <row r="659" spans="3:20" ht="15.75" customHeight="1">
      <c r="C659" s="1"/>
      <c r="J659" s="2"/>
      <c r="K659" s="63"/>
      <c r="L659" s="63"/>
      <c r="M659" s="63"/>
      <c r="N659" s="3"/>
      <c r="O659" s="3"/>
      <c r="P659" s="3"/>
      <c r="R659" s="4"/>
      <c r="S659" s="5"/>
      <c r="T659" s="5"/>
    </row>
    <row r="660" spans="3:20" ht="15.75" customHeight="1">
      <c r="C660" s="1"/>
      <c r="J660" s="2"/>
      <c r="K660" s="63"/>
      <c r="L660" s="63"/>
      <c r="M660" s="63"/>
      <c r="N660" s="3"/>
      <c r="O660" s="3"/>
      <c r="P660" s="3"/>
      <c r="R660" s="4"/>
      <c r="S660" s="5"/>
      <c r="T660" s="5"/>
    </row>
    <row r="661" spans="3:20" ht="15.75" customHeight="1">
      <c r="C661" s="1"/>
      <c r="J661" s="2"/>
      <c r="K661" s="63"/>
      <c r="L661" s="63"/>
      <c r="M661" s="63"/>
      <c r="N661" s="3"/>
      <c r="O661" s="3"/>
      <c r="P661" s="3"/>
      <c r="R661" s="4"/>
      <c r="S661" s="5"/>
      <c r="T661" s="5"/>
    </row>
    <row r="662" spans="3:20" ht="15.75" customHeight="1">
      <c r="C662" s="1"/>
      <c r="J662" s="2"/>
      <c r="K662" s="63"/>
      <c r="L662" s="63"/>
      <c r="M662" s="63"/>
      <c r="N662" s="3"/>
      <c r="O662" s="3"/>
      <c r="P662" s="3"/>
      <c r="R662" s="4"/>
      <c r="S662" s="5"/>
      <c r="T662" s="5"/>
    </row>
    <row r="663" spans="3:20" ht="15.75" customHeight="1">
      <c r="C663" s="1"/>
      <c r="J663" s="2"/>
      <c r="K663" s="63"/>
      <c r="L663" s="63"/>
      <c r="M663" s="63"/>
      <c r="N663" s="3"/>
      <c r="O663" s="3"/>
      <c r="P663" s="3"/>
      <c r="R663" s="4"/>
      <c r="S663" s="5"/>
      <c r="T663" s="5"/>
    </row>
    <row r="664" spans="3:20" ht="15.75" customHeight="1">
      <c r="C664" s="1"/>
      <c r="J664" s="2"/>
      <c r="K664" s="63"/>
      <c r="L664" s="63"/>
      <c r="M664" s="63"/>
      <c r="N664" s="3"/>
      <c r="O664" s="3"/>
      <c r="P664" s="3"/>
      <c r="R664" s="4"/>
      <c r="S664" s="5"/>
      <c r="T664" s="5"/>
    </row>
    <row r="665" spans="3:20" ht="15.75" customHeight="1">
      <c r="C665" s="1"/>
      <c r="J665" s="2"/>
      <c r="K665" s="63"/>
      <c r="L665" s="63"/>
      <c r="M665" s="63"/>
      <c r="N665" s="3"/>
      <c r="O665" s="3"/>
      <c r="P665" s="3"/>
      <c r="R665" s="4"/>
      <c r="S665" s="5"/>
      <c r="T665" s="5"/>
    </row>
    <row r="666" spans="3:20" ht="15.75" customHeight="1">
      <c r="C666" s="1"/>
      <c r="J666" s="2"/>
      <c r="K666" s="63"/>
      <c r="L666" s="63"/>
      <c r="M666" s="63"/>
      <c r="N666" s="3"/>
      <c r="O666" s="3"/>
      <c r="P666" s="3"/>
      <c r="R666" s="4"/>
      <c r="S666" s="5"/>
      <c r="T666" s="5"/>
    </row>
    <row r="667" spans="3:20" ht="15.75" customHeight="1">
      <c r="C667" s="1"/>
      <c r="J667" s="2"/>
      <c r="K667" s="63"/>
      <c r="L667" s="63"/>
      <c r="M667" s="63"/>
      <c r="N667" s="3"/>
      <c r="O667" s="3"/>
      <c r="P667" s="3"/>
      <c r="R667" s="4"/>
      <c r="S667" s="5"/>
      <c r="T667" s="5"/>
    </row>
    <row r="668" spans="3:20" ht="15.75" customHeight="1">
      <c r="C668" s="1"/>
      <c r="J668" s="2"/>
      <c r="K668" s="63"/>
      <c r="L668" s="63"/>
      <c r="M668" s="63"/>
      <c r="N668" s="3"/>
      <c r="O668" s="3"/>
      <c r="P668" s="3"/>
      <c r="R668" s="4"/>
      <c r="S668" s="5"/>
      <c r="T668" s="5"/>
    </row>
    <row r="669" spans="3:20" ht="15.75" customHeight="1">
      <c r="C669" s="1"/>
      <c r="J669" s="2"/>
      <c r="K669" s="63"/>
      <c r="L669" s="63"/>
      <c r="M669" s="63"/>
      <c r="N669" s="3"/>
      <c r="O669" s="3"/>
      <c r="P669" s="3"/>
      <c r="R669" s="4"/>
      <c r="S669" s="5"/>
      <c r="T669" s="5"/>
    </row>
    <row r="670" spans="3:20" ht="15.75" customHeight="1">
      <c r="C670" s="1"/>
      <c r="J670" s="2"/>
      <c r="K670" s="63"/>
      <c r="L670" s="63"/>
      <c r="M670" s="63"/>
      <c r="N670" s="3"/>
      <c r="O670" s="3"/>
      <c r="P670" s="3"/>
      <c r="R670" s="4"/>
      <c r="S670" s="5"/>
      <c r="T670" s="5"/>
    </row>
    <row r="671" spans="3:20" ht="15.75" customHeight="1">
      <c r="C671" s="1"/>
      <c r="J671" s="2"/>
      <c r="K671" s="63"/>
      <c r="L671" s="63"/>
      <c r="M671" s="63"/>
      <c r="N671" s="3"/>
      <c r="O671" s="3"/>
      <c r="P671" s="3"/>
      <c r="R671" s="4"/>
      <c r="S671" s="5"/>
      <c r="T671" s="5"/>
    </row>
    <row r="672" spans="3:20" ht="15.75" customHeight="1">
      <c r="C672" s="1"/>
      <c r="J672" s="2"/>
      <c r="K672" s="63"/>
      <c r="L672" s="63"/>
      <c r="M672" s="63"/>
      <c r="N672" s="3"/>
      <c r="O672" s="3"/>
      <c r="P672" s="3"/>
      <c r="R672" s="4"/>
      <c r="S672" s="5"/>
      <c r="T672" s="5"/>
    </row>
    <row r="673" spans="3:20" ht="15.75" customHeight="1">
      <c r="C673" s="1"/>
      <c r="J673" s="2"/>
      <c r="K673" s="63"/>
      <c r="L673" s="63"/>
      <c r="M673" s="63"/>
      <c r="N673" s="3"/>
      <c r="O673" s="3"/>
      <c r="P673" s="3"/>
      <c r="R673" s="4"/>
      <c r="S673" s="5"/>
      <c r="T673" s="5"/>
    </row>
    <row r="674" spans="3:20" ht="15.75" customHeight="1">
      <c r="C674" s="1"/>
      <c r="J674" s="2"/>
      <c r="K674" s="63"/>
      <c r="L674" s="63"/>
      <c r="M674" s="63"/>
      <c r="N674" s="3"/>
      <c r="O674" s="3"/>
      <c r="P674" s="3"/>
      <c r="R674" s="4"/>
      <c r="S674" s="5"/>
      <c r="T674" s="5"/>
    </row>
    <row r="675" spans="3:20" ht="15.75" customHeight="1">
      <c r="C675" s="1"/>
      <c r="J675" s="2"/>
      <c r="K675" s="63"/>
      <c r="L675" s="63"/>
      <c r="M675" s="63"/>
      <c r="N675" s="3"/>
      <c r="O675" s="3"/>
      <c r="P675" s="3"/>
      <c r="R675" s="4"/>
      <c r="S675" s="5"/>
      <c r="T675" s="5"/>
    </row>
    <row r="676" spans="3:20" ht="15.75" customHeight="1">
      <c r="C676" s="1"/>
      <c r="J676" s="2"/>
      <c r="K676" s="63"/>
      <c r="L676" s="63"/>
      <c r="M676" s="63"/>
      <c r="N676" s="3"/>
      <c r="O676" s="3"/>
      <c r="P676" s="3"/>
      <c r="R676" s="4"/>
      <c r="S676" s="5"/>
      <c r="T676" s="5"/>
    </row>
    <row r="677" spans="3:20" ht="15.75" customHeight="1">
      <c r="C677" s="1"/>
      <c r="J677" s="2"/>
      <c r="K677" s="63"/>
      <c r="L677" s="63"/>
      <c r="M677" s="63"/>
      <c r="N677" s="3"/>
      <c r="O677" s="3"/>
      <c r="P677" s="3"/>
      <c r="R677" s="4"/>
      <c r="S677" s="5"/>
      <c r="T677" s="5"/>
    </row>
    <row r="678" spans="3:20" ht="15.75" customHeight="1">
      <c r="C678" s="1"/>
      <c r="J678" s="2"/>
      <c r="K678" s="63"/>
      <c r="L678" s="63"/>
      <c r="M678" s="63"/>
      <c r="N678" s="3"/>
      <c r="O678" s="3"/>
      <c r="P678" s="3"/>
      <c r="R678" s="4"/>
      <c r="S678" s="5"/>
      <c r="T678" s="5"/>
    </row>
    <row r="679" spans="3:20" ht="15.75" customHeight="1">
      <c r="C679" s="1"/>
      <c r="J679" s="2"/>
      <c r="K679" s="63"/>
      <c r="L679" s="63"/>
      <c r="M679" s="63"/>
      <c r="N679" s="3"/>
      <c r="O679" s="3"/>
      <c r="P679" s="3"/>
      <c r="R679" s="4"/>
      <c r="S679" s="5"/>
      <c r="T679" s="5"/>
    </row>
    <row r="680" spans="3:20" ht="15.75" customHeight="1">
      <c r="C680" s="1"/>
      <c r="J680" s="2"/>
      <c r="K680" s="63"/>
      <c r="L680" s="63"/>
      <c r="M680" s="63"/>
      <c r="N680" s="3"/>
      <c r="O680" s="3"/>
      <c r="P680" s="3"/>
      <c r="R680" s="4"/>
      <c r="S680" s="5"/>
      <c r="T680" s="5"/>
    </row>
    <row r="681" spans="3:20" ht="15.75" customHeight="1">
      <c r="C681" s="1"/>
      <c r="J681" s="2"/>
      <c r="K681" s="63"/>
      <c r="L681" s="63"/>
      <c r="M681" s="63"/>
      <c r="N681" s="3"/>
      <c r="O681" s="3"/>
      <c r="P681" s="3"/>
      <c r="R681" s="4"/>
      <c r="S681" s="5"/>
      <c r="T681" s="5"/>
    </row>
    <row r="682" spans="3:20" ht="15.75" customHeight="1">
      <c r="C682" s="1"/>
      <c r="J682" s="2"/>
      <c r="K682" s="63"/>
      <c r="L682" s="63"/>
      <c r="M682" s="63"/>
      <c r="N682" s="3"/>
      <c r="O682" s="3"/>
      <c r="P682" s="3"/>
      <c r="R682" s="4"/>
      <c r="S682" s="5"/>
      <c r="T682" s="5"/>
    </row>
    <row r="683" spans="3:20" ht="15.75" customHeight="1">
      <c r="C683" s="1"/>
      <c r="J683" s="2"/>
      <c r="K683" s="63"/>
      <c r="L683" s="63"/>
      <c r="M683" s="63"/>
      <c r="N683" s="3"/>
      <c r="O683" s="3"/>
      <c r="P683" s="3"/>
      <c r="R683" s="4"/>
      <c r="S683" s="5"/>
      <c r="T683" s="5"/>
    </row>
    <row r="684" spans="3:20" ht="15.75" customHeight="1">
      <c r="C684" s="1"/>
      <c r="J684" s="2"/>
      <c r="K684" s="63"/>
      <c r="L684" s="63"/>
      <c r="M684" s="63"/>
      <c r="N684" s="3"/>
      <c r="O684" s="3"/>
      <c r="P684" s="3"/>
      <c r="R684" s="4"/>
      <c r="S684" s="5"/>
      <c r="T684" s="5"/>
    </row>
    <row r="685" spans="3:20" ht="15.75" customHeight="1">
      <c r="C685" s="1"/>
      <c r="J685" s="2"/>
      <c r="K685" s="63"/>
      <c r="L685" s="63"/>
      <c r="M685" s="63"/>
      <c r="N685" s="3"/>
      <c r="O685" s="3"/>
      <c r="P685" s="3"/>
      <c r="R685" s="4"/>
      <c r="S685" s="5"/>
      <c r="T685" s="5"/>
    </row>
    <row r="686" spans="3:20" ht="15.75" customHeight="1">
      <c r="C686" s="1"/>
      <c r="J686" s="2"/>
      <c r="K686" s="63"/>
      <c r="L686" s="63"/>
      <c r="M686" s="63"/>
      <c r="N686" s="3"/>
      <c r="O686" s="3"/>
      <c r="P686" s="3"/>
      <c r="R686" s="4"/>
      <c r="S686" s="5"/>
      <c r="T686" s="5"/>
    </row>
    <row r="687" spans="3:20" ht="15.75" customHeight="1">
      <c r="C687" s="1"/>
      <c r="J687" s="2"/>
      <c r="K687" s="63"/>
      <c r="L687" s="63"/>
      <c r="M687" s="63"/>
      <c r="N687" s="3"/>
      <c r="O687" s="3"/>
      <c r="P687" s="3"/>
      <c r="R687" s="4"/>
      <c r="S687" s="5"/>
      <c r="T687" s="5"/>
    </row>
    <row r="688" spans="3:20" ht="15.75" customHeight="1">
      <c r="C688" s="1"/>
      <c r="J688" s="2"/>
      <c r="K688" s="63"/>
      <c r="L688" s="63"/>
      <c r="M688" s="63"/>
      <c r="N688" s="3"/>
      <c r="O688" s="3"/>
      <c r="P688" s="3"/>
      <c r="R688" s="4"/>
      <c r="S688" s="5"/>
      <c r="T688" s="5"/>
    </row>
    <row r="689" spans="3:20" ht="15.75" customHeight="1">
      <c r="C689" s="1"/>
      <c r="J689" s="2"/>
      <c r="K689" s="63"/>
      <c r="L689" s="63"/>
      <c r="M689" s="63"/>
      <c r="N689" s="3"/>
      <c r="O689" s="3"/>
      <c r="P689" s="3"/>
      <c r="R689" s="4"/>
      <c r="S689" s="5"/>
      <c r="T689" s="5"/>
    </row>
    <row r="690" spans="3:20" ht="15.75" customHeight="1">
      <c r="C690" s="1"/>
      <c r="J690" s="2"/>
      <c r="K690" s="63"/>
      <c r="L690" s="63"/>
      <c r="M690" s="63"/>
      <c r="N690" s="3"/>
      <c r="O690" s="3"/>
      <c r="P690" s="3"/>
      <c r="R690" s="4"/>
      <c r="S690" s="5"/>
      <c r="T690" s="5"/>
    </row>
    <row r="691" spans="3:20" ht="15.75" customHeight="1">
      <c r="C691" s="1"/>
      <c r="J691" s="2"/>
      <c r="K691" s="63"/>
      <c r="L691" s="63"/>
      <c r="M691" s="63"/>
      <c r="N691" s="3"/>
      <c r="O691" s="3"/>
      <c r="P691" s="3"/>
      <c r="R691" s="4"/>
      <c r="S691" s="5"/>
      <c r="T691" s="5"/>
    </row>
    <row r="692" spans="3:20" ht="15.75" customHeight="1">
      <c r="C692" s="1"/>
      <c r="J692" s="2"/>
      <c r="K692" s="63"/>
      <c r="L692" s="63"/>
      <c r="M692" s="63"/>
      <c r="N692" s="3"/>
      <c r="O692" s="3"/>
      <c r="P692" s="3"/>
      <c r="R692" s="4"/>
      <c r="S692" s="5"/>
      <c r="T692" s="5"/>
    </row>
    <row r="693" spans="3:20" ht="15.75" customHeight="1">
      <c r="C693" s="1"/>
      <c r="J693" s="2"/>
      <c r="K693" s="63"/>
      <c r="L693" s="63"/>
      <c r="M693" s="63"/>
      <c r="N693" s="3"/>
      <c r="O693" s="3"/>
      <c r="P693" s="3"/>
      <c r="R693" s="4"/>
      <c r="S693" s="5"/>
      <c r="T693" s="5"/>
    </row>
    <row r="694" spans="3:20" ht="15.75" customHeight="1">
      <c r="C694" s="1"/>
      <c r="J694" s="2"/>
      <c r="K694" s="63"/>
      <c r="L694" s="63"/>
      <c r="M694" s="63"/>
      <c r="N694" s="3"/>
      <c r="O694" s="3"/>
      <c r="P694" s="3"/>
      <c r="R694" s="4"/>
      <c r="S694" s="5"/>
      <c r="T694" s="5"/>
    </row>
    <row r="695" spans="3:20" ht="15.75" customHeight="1">
      <c r="C695" s="1"/>
      <c r="J695" s="2"/>
      <c r="K695" s="63"/>
      <c r="L695" s="63"/>
      <c r="M695" s="63"/>
      <c r="N695" s="3"/>
      <c r="O695" s="3"/>
      <c r="P695" s="3"/>
      <c r="R695" s="4"/>
      <c r="S695" s="5"/>
      <c r="T695" s="5"/>
    </row>
    <row r="696" spans="3:20" ht="15.75" customHeight="1">
      <c r="C696" s="1"/>
      <c r="J696" s="2"/>
      <c r="K696" s="63"/>
      <c r="L696" s="63"/>
      <c r="M696" s="63"/>
      <c r="N696" s="3"/>
      <c r="O696" s="3"/>
      <c r="P696" s="3"/>
      <c r="R696" s="4"/>
      <c r="S696" s="5"/>
      <c r="T696" s="5"/>
    </row>
    <row r="697" spans="3:20" ht="15.75" customHeight="1">
      <c r="C697" s="1"/>
      <c r="J697" s="2"/>
      <c r="K697" s="63"/>
      <c r="L697" s="63"/>
      <c r="M697" s="63"/>
      <c r="N697" s="3"/>
      <c r="O697" s="3"/>
      <c r="P697" s="3"/>
      <c r="R697" s="4"/>
      <c r="S697" s="5"/>
      <c r="T697" s="5"/>
    </row>
    <row r="698" spans="3:20" ht="15.75" customHeight="1">
      <c r="C698" s="1"/>
      <c r="J698" s="2"/>
      <c r="K698" s="63"/>
      <c r="L698" s="63"/>
      <c r="M698" s="63"/>
      <c r="N698" s="3"/>
      <c r="O698" s="3"/>
      <c r="P698" s="3"/>
      <c r="R698" s="4"/>
      <c r="S698" s="5"/>
      <c r="T698" s="5"/>
    </row>
    <row r="699" spans="3:20" ht="15.75" customHeight="1">
      <c r="C699" s="1"/>
      <c r="J699" s="2"/>
      <c r="K699" s="63"/>
      <c r="L699" s="63"/>
      <c r="M699" s="63"/>
      <c r="N699" s="3"/>
      <c r="O699" s="3"/>
      <c r="P699" s="3"/>
      <c r="R699" s="4"/>
      <c r="S699" s="5"/>
      <c r="T699" s="5"/>
    </row>
    <row r="700" spans="3:20" ht="15.75" customHeight="1">
      <c r="C700" s="1"/>
      <c r="J700" s="2"/>
      <c r="K700" s="63"/>
      <c r="L700" s="63"/>
      <c r="M700" s="63"/>
      <c r="N700" s="3"/>
      <c r="O700" s="3"/>
      <c r="P700" s="3"/>
      <c r="R700" s="4"/>
      <c r="S700" s="5"/>
      <c r="T700" s="5"/>
    </row>
    <row r="701" spans="3:20" ht="15.75" customHeight="1">
      <c r="C701" s="1"/>
      <c r="J701" s="2"/>
      <c r="K701" s="63"/>
      <c r="L701" s="63"/>
      <c r="M701" s="63"/>
      <c r="N701" s="3"/>
      <c r="O701" s="3"/>
      <c r="P701" s="3"/>
      <c r="R701" s="4"/>
      <c r="S701" s="5"/>
      <c r="T701" s="5"/>
    </row>
    <row r="702" spans="3:20" ht="15.75" customHeight="1">
      <c r="C702" s="1"/>
      <c r="J702" s="2"/>
      <c r="K702" s="63"/>
      <c r="L702" s="63"/>
      <c r="M702" s="63"/>
      <c r="N702" s="3"/>
      <c r="O702" s="3"/>
      <c r="P702" s="3"/>
      <c r="R702" s="4"/>
      <c r="S702" s="5"/>
      <c r="T702" s="5"/>
    </row>
    <row r="703" spans="3:20" ht="15.75" customHeight="1">
      <c r="C703" s="1"/>
      <c r="J703" s="2"/>
      <c r="K703" s="63"/>
      <c r="L703" s="63"/>
      <c r="M703" s="63"/>
      <c r="N703" s="3"/>
      <c r="O703" s="3"/>
      <c r="P703" s="3"/>
      <c r="R703" s="4"/>
      <c r="S703" s="5"/>
      <c r="T703" s="5"/>
    </row>
    <row r="704" spans="3:20" ht="15.75" customHeight="1">
      <c r="C704" s="1"/>
      <c r="J704" s="2"/>
      <c r="K704" s="63"/>
      <c r="L704" s="63"/>
      <c r="M704" s="63"/>
      <c r="N704" s="3"/>
      <c r="O704" s="3"/>
      <c r="P704" s="3"/>
      <c r="R704" s="4"/>
      <c r="S704" s="5"/>
      <c r="T704" s="5"/>
    </row>
    <row r="705" spans="3:20" ht="15.75" customHeight="1">
      <c r="C705" s="1"/>
      <c r="J705" s="2"/>
      <c r="K705" s="63"/>
      <c r="L705" s="63"/>
      <c r="M705" s="63"/>
      <c r="N705" s="3"/>
      <c r="O705" s="3"/>
      <c r="P705" s="3"/>
      <c r="R705" s="4"/>
      <c r="S705" s="5"/>
      <c r="T705" s="5"/>
    </row>
    <row r="706" spans="3:20" ht="15.75" customHeight="1">
      <c r="C706" s="1"/>
      <c r="J706" s="2"/>
      <c r="K706" s="63"/>
      <c r="L706" s="63"/>
      <c r="M706" s="63"/>
      <c r="N706" s="3"/>
      <c r="O706" s="3"/>
      <c r="P706" s="3"/>
      <c r="R706" s="4"/>
      <c r="S706" s="5"/>
      <c r="T706" s="5"/>
    </row>
    <row r="707" spans="3:20" ht="15.75" customHeight="1">
      <c r="C707" s="1"/>
      <c r="J707" s="2"/>
      <c r="K707" s="63"/>
      <c r="L707" s="63"/>
      <c r="M707" s="63"/>
      <c r="N707" s="3"/>
      <c r="O707" s="3"/>
      <c r="P707" s="3"/>
      <c r="R707" s="4"/>
      <c r="S707" s="5"/>
      <c r="T707" s="5"/>
    </row>
    <row r="708" spans="3:20" ht="15.75" customHeight="1">
      <c r="C708" s="1"/>
      <c r="J708" s="2"/>
      <c r="K708" s="63"/>
      <c r="L708" s="63"/>
      <c r="M708" s="63"/>
      <c r="N708" s="3"/>
      <c r="O708" s="3"/>
      <c r="P708" s="3"/>
      <c r="R708" s="4"/>
      <c r="S708" s="5"/>
      <c r="T708" s="5"/>
    </row>
    <row r="709" spans="3:20" ht="15.75" customHeight="1">
      <c r="C709" s="1"/>
      <c r="J709" s="2"/>
      <c r="K709" s="63"/>
      <c r="L709" s="63"/>
      <c r="M709" s="63"/>
      <c r="N709" s="3"/>
      <c r="O709" s="3"/>
      <c r="P709" s="3"/>
      <c r="R709" s="4"/>
      <c r="S709" s="5"/>
      <c r="T709" s="5"/>
    </row>
    <row r="710" spans="3:20" ht="15.75" customHeight="1">
      <c r="C710" s="1"/>
      <c r="J710" s="2"/>
      <c r="K710" s="63"/>
      <c r="L710" s="63"/>
      <c r="M710" s="63"/>
      <c r="N710" s="3"/>
      <c r="O710" s="3"/>
      <c r="P710" s="3"/>
      <c r="R710" s="4"/>
      <c r="S710" s="5"/>
      <c r="T710" s="5"/>
    </row>
    <row r="711" spans="3:20" ht="15.75" customHeight="1">
      <c r="C711" s="1"/>
      <c r="J711" s="2"/>
      <c r="K711" s="63"/>
      <c r="L711" s="63"/>
      <c r="M711" s="63"/>
      <c r="N711" s="3"/>
      <c r="O711" s="3"/>
      <c r="P711" s="3"/>
      <c r="R711" s="4"/>
      <c r="S711" s="5"/>
      <c r="T711" s="5"/>
    </row>
    <row r="712" spans="3:20" ht="15.75" customHeight="1">
      <c r="C712" s="1"/>
      <c r="J712" s="2"/>
      <c r="K712" s="63"/>
      <c r="L712" s="63"/>
      <c r="M712" s="63"/>
      <c r="N712" s="3"/>
      <c r="O712" s="3"/>
      <c r="P712" s="3"/>
      <c r="R712" s="4"/>
      <c r="S712" s="5"/>
      <c r="T712" s="5"/>
    </row>
    <row r="713" spans="3:20" ht="15.75" customHeight="1">
      <c r="C713" s="1"/>
      <c r="J713" s="2"/>
      <c r="K713" s="63"/>
      <c r="L713" s="63"/>
      <c r="M713" s="63"/>
      <c r="N713" s="3"/>
      <c r="O713" s="3"/>
      <c r="P713" s="3"/>
      <c r="R713" s="4"/>
      <c r="S713" s="5"/>
      <c r="T713" s="5"/>
    </row>
    <row r="714" spans="3:20" ht="15.75" customHeight="1">
      <c r="C714" s="1"/>
      <c r="J714" s="2"/>
      <c r="K714" s="63"/>
      <c r="L714" s="63"/>
      <c r="M714" s="63"/>
      <c r="N714" s="3"/>
      <c r="O714" s="3"/>
      <c r="P714" s="3"/>
      <c r="R714" s="4"/>
      <c r="S714" s="5"/>
      <c r="T714" s="5"/>
    </row>
    <row r="715" spans="3:20" ht="15.75" customHeight="1">
      <c r="C715" s="1"/>
      <c r="J715" s="2"/>
      <c r="K715" s="63"/>
      <c r="L715" s="63"/>
      <c r="M715" s="63"/>
      <c r="N715" s="3"/>
      <c r="O715" s="3"/>
      <c r="P715" s="3"/>
      <c r="R715" s="4"/>
      <c r="S715" s="5"/>
      <c r="T715" s="5"/>
    </row>
    <row r="716" spans="3:20" ht="15.75" customHeight="1">
      <c r="C716" s="1"/>
      <c r="J716" s="2"/>
      <c r="K716" s="63"/>
      <c r="L716" s="63"/>
      <c r="M716" s="63"/>
      <c r="N716" s="3"/>
      <c r="O716" s="3"/>
      <c r="P716" s="3"/>
      <c r="R716" s="4"/>
      <c r="S716" s="5"/>
      <c r="T716" s="5"/>
    </row>
    <row r="717" spans="3:20" ht="15.75" customHeight="1">
      <c r="C717" s="1"/>
      <c r="J717" s="2"/>
      <c r="K717" s="63"/>
      <c r="L717" s="63"/>
      <c r="M717" s="63"/>
      <c r="N717" s="3"/>
      <c r="O717" s="3"/>
      <c r="P717" s="3"/>
      <c r="R717" s="4"/>
      <c r="S717" s="5"/>
      <c r="T717" s="5"/>
    </row>
    <row r="718" spans="3:20" ht="15.75" customHeight="1">
      <c r="C718" s="1"/>
      <c r="J718" s="2"/>
      <c r="K718" s="63"/>
      <c r="L718" s="63"/>
      <c r="M718" s="63"/>
      <c r="N718" s="3"/>
      <c r="O718" s="3"/>
      <c r="P718" s="3"/>
      <c r="R718" s="4"/>
      <c r="S718" s="5"/>
      <c r="T718" s="5"/>
    </row>
    <row r="719" spans="3:20" ht="15.75" customHeight="1">
      <c r="C719" s="1"/>
      <c r="J719" s="2"/>
      <c r="K719" s="63"/>
      <c r="L719" s="63"/>
      <c r="M719" s="63"/>
      <c r="N719" s="3"/>
      <c r="O719" s="3"/>
      <c r="P719" s="3"/>
      <c r="R719" s="4"/>
      <c r="S719" s="5"/>
      <c r="T719" s="5"/>
    </row>
    <row r="720" spans="3:20" ht="15.75" customHeight="1">
      <c r="C720" s="1"/>
      <c r="J720" s="2"/>
      <c r="K720" s="63"/>
      <c r="L720" s="63"/>
      <c r="M720" s="63"/>
      <c r="N720" s="3"/>
      <c r="O720" s="3"/>
      <c r="P720" s="3"/>
      <c r="R720" s="4"/>
      <c r="S720" s="5"/>
      <c r="T720" s="5"/>
    </row>
    <row r="721" spans="3:20" ht="15.75" customHeight="1">
      <c r="C721" s="1"/>
      <c r="J721" s="2"/>
      <c r="K721" s="63"/>
      <c r="L721" s="63"/>
      <c r="M721" s="63"/>
      <c r="N721" s="3"/>
      <c r="O721" s="3"/>
      <c r="P721" s="3"/>
      <c r="R721" s="4"/>
      <c r="S721" s="5"/>
      <c r="T721" s="5"/>
    </row>
    <row r="722" spans="3:20" ht="15.75" customHeight="1">
      <c r="C722" s="1"/>
      <c r="J722" s="2"/>
      <c r="K722" s="63"/>
      <c r="L722" s="63"/>
      <c r="M722" s="63"/>
      <c r="N722" s="3"/>
      <c r="O722" s="3"/>
      <c r="P722" s="3"/>
      <c r="R722" s="4"/>
      <c r="S722" s="5"/>
      <c r="T722" s="5"/>
    </row>
    <row r="723" spans="3:20" ht="15.75" customHeight="1">
      <c r="C723" s="1"/>
      <c r="J723" s="2"/>
      <c r="K723" s="63"/>
      <c r="L723" s="63"/>
      <c r="M723" s="63"/>
      <c r="N723" s="3"/>
      <c r="O723" s="3"/>
      <c r="P723" s="3"/>
      <c r="R723" s="4"/>
      <c r="S723" s="5"/>
      <c r="T723" s="5"/>
    </row>
    <row r="724" spans="3:20" ht="15.75" customHeight="1">
      <c r="C724" s="1"/>
      <c r="J724" s="2"/>
      <c r="K724" s="63"/>
      <c r="L724" s="63"/>
      <c r="M724" s="63"/>
      <c r="N724" s="3"/>
      <c r="O724" s="3"/>
      <c r="P724" s="3"/>
      <c r="R724" s="4"/>
      <c r="S724" s="5"/>
      <c r="T724" s="5"/>
    </row>
    <row r="725" spans="3:20" ht="15.75" customHeight="1">
      <c r="C725" s="1"/>
      <c r="J725" s="2"/>
      <c r="K725" s="63"/>
      <c r="L725" s="63"/>
      <c r="M725" s="63"/>
      <c r="N725" s="3"/>
      <c r="O725" s="3"/>
      <c r="P725" s="3"/>
      <c r="R725" s="4"/>
      <c r="S725" s="5"/>
      <c r="T725" s="5"/>
    </row>
    <row r="726" spans="3:20" ht="15.75" customHeight="1">
      <c r="C726" s="1"/>
      <c r="J726" s="2"/>
      <c r="K726" s="63"/>
      <c r="L726" s="63"/>
      <c r="M726" s="63"/>
      <c r="N726" s="3"/>
      <c r="O726" s="3"/>
      <c r="P726" s="3"/>
      <c r="R726" s="4"/>
      <c r="S726" s="5"/>
      <c r="T726" s="5"/>
    </row>
    <row r="727" spans="3:20" ht="15.75" customHeight="1">
      <c r="C727" s="1"/>
      <c r="J727" s="2"/>
      <c r="K727" s="63"/>
      <c r="L727" s="63"/>
      <c r="M727" s="63"/>
      <c r="N727" s="3"/>
      <c r="O727" s="3"/>
      <c r="P727" s="3"/>
      <c r="R727" s="4"/>
      <c r="S727" s="5"/>
      <c r="T727" s="5"/>
    </row>
    <row r="728" spans="3:20" ht="15.75" customHeight="1">
      <c r="C728" s="1"/>
      <c r="J728" s="2"/>
      <c r="K728" s="63"/>
      <c r="L728" s="63"/>
      <c r="M728" s="63"/>
      <c r="N728" s="3"/>
      <c r="O728" s="3"/>
      <c r="P728" s="3"/>
      <c r="R728" s="4"/>
      <c r="S728" s="5"/>
      <c r="T728" s="5"/>
    </row>
    <row r="729" spans="3:20" ht="15.75" customHeight="1">
      <c r="C729" s="1"/>
      <c r="J729" s="2"/>
      <c r="K729" s="63"/>
      <c r="L729" s="63"/>
      <c r="M729" s="63"/>
      <c r="N729" s="3"/>
      <c r="O729" s="3"/>
      <c r="P729" s="3"/>
      <c r="R729" s="4"/>
      <c r="S729" s="5"/>
      <c r="T729" s="5"/>
    </row>
    <row r="730" spans="3:20" ht="15.75" customHeight="1">
      <c r="C730" s="1"/>
      <c r="J730" s="2"/>
      <c r="K730" s="63"/>
      <c r="L730" s="63"/>
      <c r="M730" s="63"/>
      <c r="N730" s="3"/>
      <c r="O730" s="3"/>
      <c r="P730" s="3"/>
      <c r="R730" s="4"/>
      <c r="S730" s="5"/>
      <c r="T730" s="5"/>
    </row>
    <row r="731" spans="3:20" ht="15.75" customHeight="1">
      <c r="C731" s="1"/>
      <c r="J731" s="2"/>
      <c r="K731" s="63"/>
      <c r="L731" s="63"/>
      <c r="M731" s="63"/>
      <c r="N731" s="3"/>
      <c r="O731" s="3"/>
      <c r="P731" s="3"/>
      <c r="R731" s="4"/>
      <c r="S731" s="5"/>
      <c r="T731" s="5"/>
    </row>
    <row r="732" spans="3:20" ht="15.75" customHeight="1">
      <c r="C732" s="1"/>
      <c r="J732" s="2"/>
      <c r="K732" s="63"/>
      <c r="L732" s="63"/>
      <c r="M732" s="63"/>
      <c r="N732" s="3"/>
      <c r="O732" s="3"/>
      <c r="P732" s="3"/>
      <c r="R732" s="4"/>
      <c r="S732" s="5"/>
      <c r="T732" s="5"/>
    </row>
    <row r="733" spans="3:20" ht="15.75" customHeight="1">
      <c r="C733" s="1"/>
      <c r="J733" s="2"/>
      <c r="K733" s="63"/>
      <c r="L733" s="63"/>
      <c r="M733" s="63"/>
      <c r="N733" s="3"/>
      <c r="O733" s="3"/>
      <c r="P733" s="3"/>
      <c r="R733" s="4"/>
      <c r="S733" s="5"/>
      <c r="T733" s="5"/>
    </row>
    <row r="734" spans="3:20" ht="15.75" customHeight="1">
      <c r="C734" s="1"/>
      <c r="J734" s="2"/>
      <c r="K734" s="63"/>
      <c r="L734" s="63"/>
      <c r="M734" s="63"/>
      <c r="N734" s="3"/>
      <c r="O734" s="3"/>
      <c r="P734" s="3"/>
      <c r="R734" s="4"/>
      <c r="S734" s="5"/>
      <c r="T734" s="5"/>
    </row>
    <row r="735" spans="3:20" ht="15.75" customHeight="1">
      <c r="C735" s="1"/>
      <c r="J735" s="2"/>
      <c r="K735" s="63"/>
      <c r="L735" s="63"/>
      <c r="M735" s="63"/>
      <c r="N735" s="3"/>
      <c r="O735" s="3"/>
      <c r="P735" s="3"/>
      <c r="R735" s="4"/>
      <c r="S735" s="5"/>
      <c r="T735" s="5"/>
    </row>
    <row r="736" spans="3:20" ht="15.75" customHeight="1">
      <c r="C736" s="1"/>
      <c r="J736" s="2"/>
      <c r="K736" s="63"/>
      <c r="L736" s="63"/>
      <c r="M736" s="63"/>
      <c r="N736" s="3"/>
      <c r="O736" s="3"/>
      <c r="P736" s="3"/>
      <c r="R736" s="4"/>
      <c r="S736" s="5"/>
      <c r="T736" s="5"/>
    </row>
    <row r="737" spans="3:20" ht="15.75" customHeight="1">
      <c r="C737" s="1"/>
      <c r="J737" s="2"/>
      <c r="K737" s="63"/>
      <c r="L737" s="63"/>
      <c r="M737" s="63"/>
      <c r="N737" s="3"/>
      <c r="O737" s="3"/>
      <c r="P737" s="3"/>
      <c r="R737" s="4"/>
      <c r="S737" s="5"/>
      <c r="T737" s="5"/>
    </row>
    <row r="738" spans="3:20" ht="15.75" customHeight="1">
      <c r="C738" s="1"/>
      <c r="J738" s="2"/>
      <c r="K738" s="63"/>
      <c r="L738" s="63"/>
      <c r="M738" s="63"/>
      <c r="N738" s="3"/>
      <c r="O738" s="3"/>
      <c r="P738" s="3"/>
      <c r="R738" s="4"/>
      <c r="S738" s="5"/>
      <c r="T738" s="5"/>
    </row>
    <row r="739" spans="3:20" ht="15.75" customHeight="1">
      <c r="C739" s="1"/>
      <c r="J739" s="2"/>
      <c r="K739" s="63"/>
      <c r="L739" s="63"/>
      <c r="M739" s="63"/>
      <c r="N739" s="3"/>
      <c r="O739" s="3"/>
      <c r="P739" s="3"/>
      <c r="R739" s="4"/>
      <c r="S739" s="5"/>
      <c r="T739" s="5"/>
    </row>
    <row r="740" spans="3:20" ht="15.75" customHeight="1">
      <c r="C740" s="1"/>
      <c r="J740" s="2"/>
      <c r="K740" s="63"/>
      <c r="L740" s="63"/>
      <c r="M740" s="63"/>
      <c r="N740" s="3"/>
      <c r="O740" s="3"/>
      <c r="P740" s="3"/>
      <c r="R740" s="4"/>
      <c r="S740" s="5"/>
      <c r="T740" s="5"/>
    </row>
    <row r="741" spans="3:20" ht="15.75" customHeight="1">
      <c r="C741" s="1"/>
      <c r="J741" s="2"/>
      <c r="K741" s="63"/>
      <c r="L741" s="63"/>
      <c r="M741" s="63"/>
      <c r="N741" s="3"/>
      <c r="O741" s="3"/>
      <c r="P741" s="3"/>
      <c r="R741" s="4"/>
      <c r="S741" s="5"/>
      <c r="T741" s="5"/>
    </row>
    <row r="742" spans="3:20" ht="15.75" customHeight="1">
      <c r="C742" s="1"/>
      <c r="J742" s="2"/>
      <c r="K742" s="63"/>
      <c r="L742" s="63"/>
      <c r="M742" s="63"/>
      <c r="N742" s="3"/>
      <c r="O742" s="3"/>
      <c r="P742" s="3"/>
      <c r="R742" s="4"/>
      <c r="S742" s="5"/>
      <c r="T742" s="5"/>
    </row>
    <row r="743" spans="3:20" ht="15.75" customHeight="1">
      <c r="C743" s="1"/>
      <c r="J743" s="2"/>
      <c r="K743" s="63"/>
      <c r="L743" s="63"/>
      <c r="M743" s="63"/>
      <c r="N743" s="3"/>
      <c r="O743" s="3"/>
      <c r="P743" s="3"/>
      <c r="R743" s="4"/>
      <c r="S743" s="5"/>
      <c r="T743" s="5"/>
    </row>
    <row r="744" spans="3:20" ht="15.75" customHeight="1">
      <c r="C744" s="1"/>
      <c r="J744" s="2"/>
      <c r="K744" s="63"/>
      <c r="L744" s="63"/>
      <c r="M744" s="63"/>
      <c r="N744" s="3"/>
      <c r="O744" s="3"/>
      <c r="P744" s="3"/>
      <c r="R744" s="4"/>
      <c r="S744" s="5"/>
      <c r="T744" s="5"/>
    </row>
    <row r="745" spans="3:20" ht="15.75" customHeight="1">
      <c r="C745" s="1"/>
      <c r="J745" s="2"/>
      <c r="K745" s="63"/>
      <c r="L745" s="63"/>
      <c r="M745" s="63"/>
      <c r="N745" s="3"/>
      <c r="O745" s="3"/>
      <c r="P745" s="3"/>
      <c r="R745" s="4"/>
      <c r="S745" s="5"/>
      <c r="T745" s="5"/>
    </row>
    <row r="746" spans="3:20" ht="15.75" customHeight="1">
      <c r="C746" s="1"/>
      <c r="J746" s="2"/>
      <c r="K746" s="63"/>
      <c r="L746" s="63"/>
      <c r="M746" s="63"/>
      <c r="N746" s="3"/>
      <c r="O746" s="3"/>
      <c r="P746" s="3"/>
      <c r="R746" s="4"/>
      <c r="S746" s="5"/>
      <c r="T746" s="5"/>
    </row>
    <row r="747" spans="3:20" ht="15.75" customHeight="1">
      <c r="C747" s="1"/>
      <c r="J747" s="2"/>
      <c r="K747" s="63"/>
      <c r="L747" s="63"/>
      <c r="M747" s="63"/>
      <c r="N747" s="3"/>
      <c r="O747" s="3"/>
      <c r="P747" s="3"/>
      <c r="R747" s="4"/>
      <c r="S747" s="5"/>
      <c r="T747" s="5"/>
    </row>
    <row r="748" spans="3:20" ht="15.75" customHeight="1">
      <c r="C748" s="1"/>
      <c r="J748" s="2"/>
      <c r="K748" s="63"/>
      <c r="L748" s="63"/>
      <c r="M748" s="63"/>
      <c r="N748" s="3"/>
      <c r="O748" s="3"/>
      <c r="P748" s="3"/>
      <c r="R748" s="4"/>
      <c r="S748" s="5"/>
      <c r="T748" s="5"/>
    </row>
    <row r="749" spans="3:20" ht="15.75" customHeight="1">
      <c r="C749" s="1"/>
      <c r="J749" s="2"/>
      <c r="K749" s="63"/>
      <c r="L749" s="63"/>
      <c r="M749" s="63"/>
      <c r="N749" s="3"/>
      <c r="O749" s="3"/>
      <c r="P749" s="3"/>
      <c r="R749" s="4"/>
      <c r="S749" s="5"/>
      <c r="T749" s="5"/>
    </row>
    <row r="750" spans="3:20" ht="15.75" customHeight="1">
      <c r="C750" s="1"/>
      <c r="J750" s="2"/>
      <c r="K750" s="63"/>
      <c r="L750" s="63"/>
      <c r="M750" s="63"/>
      <c r="N750" s="3"/>
      <c r="O750" s="3"/>
      <c r="P750" s="3"/>
      <c r="R750" s="4"/>
      <c r="S750" s="5"/>
      <c r="T750" s="5"/>
    </row>
    <row r="751" spans="3:20" ht="15.75" customHeight="1">
      <c r="C751" s="1"/>
      <c r="J751" s="2"/>
      <c r="K751" s="63"/>
      <c r="L751" s="63"/>
      <c r="M751" s="63"/>
      <c r="N751" s="3"/>
      <c r="O751" s="3"/>
      <c r="P751" s="3"/>
      <c r="R751" s="4"/>
      <c r="S751" s="5"/>
      <c r="T751" s="5"/>
    </row>
    <row r="752" spans="3:20" ht="15.75" customHeight="1">
      <c r="C752" s="1"/>
      <c r="J752" s="2"/>
      <c r="K752" s="63"/>
      <c r="L752" s="63"/>
      <c r="M752" s="63"/>
      <c r="N752" s="3"/>
      <c r="O752" s="3"/>
      <c r="P752" s="3"/>
      <c r="R752" s="4"/>
      <c r="S752" s="5"/>
      <c r="T752" s="5"/>
    </row>
    <row r="753" spans="3:20" ht="15.75" customHeight="1">
      <c r="C753" s="1"/>
      <c r="J753" s="2"/>
      <c r="K753" s="63"/>
      <c r="L753" s="63"/>
      <c r="M753" s="63"/>
      <c r="N753" s="3"/>
      <c r="O753" s="3"/>
      <c r="P753" s="3"/>
      <c r="R753" s="4"/>
      <c r="S753" s="5"/>
      <c r="T753" s="5"/>
    </row>
    <row r="754" spans="3:20" ht="15.75" customHeight="1">
      <c r="C754" s="1"/>
      <c r="J754" s="2"/>
      <c r="K754" s="63"/>
      <c r="L754" s="63"/>
      <c r="M754" s="63"/>
      <c r="N754" s="3"/>
      <c r="O754" s="3"/>
      <c r="P754" s="3"/>
      <c r="R754" s="4"/>
      <c r="S754" s="5"/>
      <c r="T754" s="5"/>
    </row>
    <row r="755" spans="3:20" ht="15.75" customHeight="1">
      <c r="C755" s="1"/>
      <c r="J755" s="2"/>
      <c r="K755" s="63"/>
      <c r="L755" s="63"/>
      <c r="M755" s="63"/>
      <c r="N755" s="3"/>
      <c r="O755" s="3"/>
      <c r="P755" s="3"/>
      <c r="R755" s="4"/>
      <c r="S755" s="5"/>
      <c r="T755" s="5"/>
    </row>
    <row r="756" spans="3:20" ht="15.75" customHeight="1">
      <c r="C756" s="1"/>
      <c r="J756" s="2"/>
      <c r="K756" s="63"/>
      <c r="L756" s="63"/>
      <c r="M756" s="63"/>
      <c r="N756" s="3"/>
      <c r="O756" s="3"/>
      <c r="P756" s="3"/>
      <c r="R756" s="4"/>
      <c r="S756" s="5"/>
      <c r="T756" s="5"/>
    </row>
    <row r="757" spans="3:20" ht="15.75" customHeight="1">
      <c r="C757" s="1"/>
      <c r="J757" s="2"/>
      <c r="K757" s="63"/>
      <c r="L757" s="63"/>
      <c r="M757" s="63"/>
      <c r="N757" s="3"/>
      <c r="O757" s="3"/>
      <c r="P757" s="3"/>
      <c r="R757" s="4"/>
      <c r="S757" s="5"/>
      <c r="T757" s="5"/>
    </row>
    <row r="758" spans="3:20" ht="15.75" customHeight="1">
      <c r="C758" s="1"/>
      <c r="J758" s="2"/>
      <c r="K758" s="63"/>
      <c r="L758" s="63"/>
      <c r="M758" s="63"/>
      <c r="N758" s="3"/>
      <c r="O758" s="3"/>
      <c r="P758" s="3"/>
      <c r="R758" s="4"/>
      <c r="S758" s="5"/>
      <c r="T758" s="5"/>
    </row>
    <row r="759" spans="3:20" ht="15.75" customHeight="1">
      <c r="C759" s="1"/>
      <c r="J759" s="2"/>
      <c r="K759" s="63"/>
      <c r="L759" s="63"/>
      <c r="M759" s="63"/>
      <c r="N759" s="3"/>
      <c r="O759" s="3"/>
      <c r="P759" s="3"/>
      <c r="R759" s="4"/>
      <c r="S759" s="5"/>
      <c r="T759" s="5"/>
    </row>
    <row r="760" spans="3:20" ht="15.75" customHeight="1">
      <c r="C760" s="1"/>
      <c r="J760" s="2"/>
      <c r="K760" s="63"/>
      <c r="L760" s="63"/>
      <c r="M760" s="63"/>
      <c r="N760" s="3"/>
      <c r="O760" s="3"/>
      <c r="P760" s="3"/>
      <c r="R760" s="4"/>
      <c r="S760" s="5"/>
      <c r="T760" s="5"/>
    </row>
    <row r="761" spans="3:20" ht="15.75" customHeight="1">
      <c r="C761" s="1"/>
      <c r="J761" s="2"/>
      <c r="K761" s="63"/>
      <c r="L761" s="63"/>
      <c r="M761" s="63"/>
      <c r="N761" s="3"/>
      <c r="O761" s="3"/>
      <c r="P761" s="3"/>
      <c r="R761" s="4"/>
      <c r="S761" s="5"/>
      <c r="T761" s="5"/>
    </row>
    <row r="762" spans="3:20" ht="15.75" customHeight="1">
      <c r="C762" s="1"/>
      <c r="J762" s="2"/>
      <c r="K762" s="63"/>
      <c r="L762" s="63"/>
      <c r="M762" s="63"/>
      <c r="N762" s="3"/>
      <c r="O762" s="3"/>
      <c r="P762" s="3"/>
      <c r="R762" s="4"/>
      <c r="S762" s="5"/>
      <c r="T762" s="5"/>
    </row>
    <row r="763" spans="3:20" ht="15.75" customHeight="1">
      <c r="C763" s="1"/>
      <c r="J763" s="2"/>
      <c r="K763" s="63"/>
      <c r="L763" s="63"/>
      <c r="M763" s="63"/>
      <c r="N763" s="3"/>
      <c r="O763" s="3"/>
      <c r="P763" s="3"/>
      <c r="R763" s="4"/>
      <c r="S763" s="5"/>
      <c r="T763" s="5"/>
    </row>
    <row r="764" spans="3:20" ht="15.75" customHeight="1">
      <c r="C764" s="1"/>
      <c r="J764" s="2"/>
      <c r="K764" s="63"/>
      <c r="L764" s="63"/>
      <c r="M764" s="63"/>
      <c r="N764" s="3"/>
      <c r="O764" s="3"/>
      <c r="P764" s="3"/>
      <c r="R764" s="4"/>
      <c r="S764" s="5"/>
      <c r="T764" s="5"/>
    </row>
    <row r="765" spans="3:20" ht="15.75" customHeight="1">
      <c r="C765" s="1"/>
      <c r="J765" s="2"/>
      <c r="K765" s="63"/>
      <c r="L765" s="63"/>
      <c r="M765" s="63"/>
      <c r="N765" s="3"/>
      <c r="O765" s="3"/>
      <c r="P765" s="3"/>
      <c r="R765" s="4"/>
      <c r="S765" s="5"/>
      <c r="T765" s="5"/>
    </row>
    <row r="766" spans="3:20" ht="15.75" customHeight="1">
      <c r="C766" s="1"/>
      <c r="J766" s="2"/>
      <c r="K766" s="63"/>
      <c r="L766" s="63"/>
      <c r="M766" s="63"/>
      <c r="N766" s="3"/>
      <c r="O766" s="3"/>
      <c r="P766" s="3"/>
      <c r="R766" s="4"/>
      <c r="S766" s="5"/>
      <c r="T766" s="5"/>
    </row>
    <row r="767" spans="3:20" ht="15.75" customHeight="1">
      <c r="C767" s="1"/>
      <c r="J767" s="2"/>
      <c r="K767" s="63"/>
      <c r="L767" s="63"/>
      <c r="M767" s="63"/>
      <c r="N767" s="3"/>
      <c r="O767" s="3"/>
      <c r="P767" s="3"/>
      <c r="R767" s="4"/>
      <c r="S767" s="5"/>
      <c r="T767" s="5"/>
    </row>
    <row r="768" spans="3:20" ht="15.75" customHeight="1">
      <c r="C768" s="1"/>
      <c r="J768" s="2"/>
      <c r="K768" s="63"/>
      <c r="L768" s="63"/>
      <c r="M768" s="63"/>
      <c r="N768" s="3"/>
      <c r="O768" s="3"/>
      <c r="P768" s="3"/>
      <c r="R768" s="4"/>
      <c r="S768" s="5"/>
      <c r="T768" s="5"/>
    </row>
    <row r="769" spans="3:20" ht="15.75" customHeight="1">
      <c r="C769" s="1"/>
      <c r="J769" s="2"/>
      <c r="K769" s="63"/>
      <c r="L769" s="63"/>
      <c r="M769" s="63"/>
      <c r="N769" s="3"/>
      <c r="O769" s="3"/>
      <c r="P769" s="3"/>
      <c r="R769" s="4"/>
      <c r="S769" s="5"/>
      <c r="T769" s="5"/>
    </row>
    <row r="770" spans="3:20" ht="15.75" customHeight="1">
      <c r="C770" s="1"/>
      <c r="J770" s="2"/>
      <c r="K770" s="63"/>
      <c r="L770" s="63"/>
      <c r="M770" s="63"/>
      <c r="N770" s="3"/>
      <c r="O770" s="3"/>
      <c r="P770" s="3"/>
      <c r="R770" s="4"/>
      <c r="S770" s="5"/>
      <c r="T770" s="5"/>
    </row>
    <row r="771" spans="3:20" ht="15.75" customHeight="1">
      <c r="C771" s="1"/>
      <c r="J771" s="2"/>
      <c r="K771" s="63"/>
      <c r="L771" s="63"/>
      <c r="M771" s="63"/>
      <c r="N771" s="3"/>
      <c r="O771" s="3"/>
      <c r="P771" s="3"/>
      <c r="R771" s="4"/>
      <c r="S771" s="5"/>
      <c r="T771" s="5"/>
    </row>
    <row r="772" spans="3:20" ht="15.75" customHeight="1">
      <c r="C772" s="1"/>
      <c r="J772" s="2"/>
      <c r="K772" s="63"/>
      <c r="L772" s="63"/>
      <c r="M772" s="63"/>
      <c r="N772" s="3"/>
      <c r="O772" s="3"/>
      <c r="P772" s="3"/>
      <c r="R772" s="4"/>
      <c r="S772" s="5"/>
      <c r="T772" s="5"/>
    </row>
    <row r="773" spans="3:20" ht="15.75" customHeight="1">
      <c r="C773" s="1"/>
      <c r="J773" s="2"/>
      <c r="K773" s="63"/>
      <c r="L773" s="63"/>
      <c r="M773" s="63"/>
      <c r="N773" s="3"/>
      <c r="O773" s="3"/>
      <c r="P773" s="3"/>
      <c r="R773" s="4"/>
      <c r="S773" s="5"/>
      <c r="T773" s="5"/>
    </row>
    <row r="774" spans="3:20" ht="15.75" customHeight="1">
      <c r="C774" s="1"/>
      <c r="J774" s="2"/>
      <c r="K774" s="63"/>
      <c r="L774" s="63"/>
      <c r="M774" s="63"/>
      <c r="N774" s="3"/>
      <c r="O774" s="3"/>
      <c r="P774" s="3"/>
      <c r="R774" s="4"/>
      <c r="S774" s="5"/>
      <c r="T774" s="5"/>
    </row>
    <row r="775" spans="3:20" ht="15.75" customHeight="1">
      <c r="C775" s="1"/>
      <c r="J775" s="2"/>
      <c r="K775" s="63"/>
      <c r="L775" s="63"/>
      <c r="M775" s="63"/>
      <c r="N775" s="3"/>
      <c r="O775" s="3"/>
      <c r="P775" s="3"/>
      <c r="R775" s="4"/>
      <c r="S775" s="5"/>
      <c r="T775" s="5"/>
    </row>
    <row r="776" spans="3:20" ht="15.75" customHeight="1">
      <c r="C776" s="1"/>
      <c r="J776" s="2"/>
      <c r="K776" s="63"/>
      <c r="L776" s="63"/>
      <c r="M776" s="63"/>
      <c r="N776" s="3"/>
      <c r="O776" s="3"/>
      <c r="P776" s="3"/>
      <c r="R776" s="4"/>
      <c r="S776" s="5"/>
      <c r="T776" s="5"/>
    </row>
    <row r="777" spans="3:20" ht="15.75" customHeight="1">
      <c r="C777" s="1"/>
      <c r="J777" s="2"/>
      <c r="K777" s="63"/>
      <c r="L777" s="63"/>
      <c r="M777" s="63"/>
      <c r="N777" s="3"/>
      <c r="O777" s="3"/>
      <c r="P777" s="3"/>
      <c r="R777" s="4"/>
      <c r="S777" s="5"/>
      <c r="T777" s="5"/>
    </row>
    <row r="778" spans="3:20" ht="15.75" customHeight="1">
      <c r="C778" s="1"/>
      <c r="J778" s="2"/>
      <c r="K778" s="63"/>
      <c r="L778" s="63"/>
      <c r="M778" s="63"/>
      <c r="N778" s="3"/>
      <c r="O778" s="3"/>
      <c r="P778" s="3"/>
      <c r="R778" s="4"/>
      <c r="S778" s="5"/>
      <c r="T778" s="5"/>
    </row>
    <row r="779" spans="3:20" ht="15.75" customHeight="1">
      <c r="C779" s="1"/>
      <c r="J779" s="2"/>
      <c r="K779" s="63"/>
      <c r="L779" s="63"/>
      <c r="M779" s="63"/>
      <c r="N779" s="3"/>
      <c r="O779" s="3"/>
      <c r="P779" s="3"/>
      <c r="R779" s="4"/>
      <c r="S779" s="5"/>
      <c r="T779" s="5"/>
    </row>
    <row r="780" spans="3:20" ht="15.75" customHeight="1">
      <c r="C780" s="1"/>
      <c r="J780" s="2"/>
      <c r="K780" s="63"/>
      <c r="L780" s="63"/>
      <c r="M780" s="63"/>
      <c r="N780" s="3"/>
      <c r="O780" s="3"/>
      <c r="P780" s="3"/>
      <c r="R780" s="4"/>
      <c r="S780" s="5"/>
      <c r="T780" s="5"/>
    </row>
    <row r="781" spans="3:20" ht="15.75" customHeight="1">
      <c r="C781" s="1"/>
      <c r="J781" s="2"/>
      <c r="K781" s="63"/>
      <c r="L781" s="63"/>
      <c r="M781" s="63"/>
      <c r="N781" s="3"/>
      <c r="O781" s="3"/>
      <c r="P781" s="3"/>
      <c r="R781" s="4"/>
      <c r="S781" s="5"/>
      <c r="T781" s="5"/>
    </row>
    <row r="782" spans="3:20" ht="15.75" customHeight="1">
      <c r="C782" s="1"/>
      <c r="J782" s="2"/>
      <c r="K782" s="63"/>
      <c r="L782" s="63"/>
      <c r="M782" s="63"/>
      <c r="N782" s="3"/>
      <c r="O782" s="3"/>
      <c r="P782" s="3"/>
      <c r="R782" s="4"/>
      <c r="S782" s="5"/>
      <c r="T782" s="5"/>
    </row>
    <row r="783" spans="3:20" ht="15.75" customHeight="1">
      <c r="C783" s="1"/>
      <c r="J783" s="2"/>
      <c r="K783" s="63"/>
      <c r="L783" s="63"/>
      <c r="M783" s="63"/>
      <c r="N783" s="3"/>
      <c r="O783" s="3"/>
      <c r="P783" s="3"/>
      <c r="R783" s="4"/>
      <c r="S783" s="5"/>
      <c r="T783" s="5"/>
    </row>
    <row r="784" spans="3:20" ht="15.75" customHeight="1">
      <c r="C784" s="1"/>
      <c r="J784" s="2"/>
      <c r="K784" s="63"/>
      <c r="L784" s="63"/>
      <c r="M784" s="63"/>
      <c r="N784" s="3"/>
      <c r="O784" s="3"/>
      <c r="P784" s="3"/>
      <c r="R784" s="4"/>
      <c r="S784" s="5"/>
      <c r="T784" s="5"/>
    </row>
    <row r="785" spans="3:20" ht="15.75" customHeight="1">
      <c r="C785" s="1"/>
      <c r="J785" s="2"/>
      <c r="K785" s="63"/>
      <c r="L785" s="63"/>
      <c r="M785" s="63"/>
      <c r="N785" s="3"/>
      <c r="O785" s="3"/>
      <c r="P785" s="3"/>
      <c r="R785" s="4"/>
      <c r="S785" s="5"/>
      <c r="T785" s="5"/>
    </row>
    <row r="786" spans="3:20" ht="15.75" customHeight="1">
      <c r="C786" s="1"/>
      <c r="J786" s="2"/>
      <c r="K786" s="63"/>
      <c r="L786" s="63"/>
      <c r="M786" s="63"/>
      <c r="N786" s="3"/>
      <c r="O786" s="3"/>
      <c r="P786" s="3"/>
      <c r="R786" s="4"/>
      <c r="S786" s="5"/>
      <c r="T786" s="5"/>
    </row>
    <row r="787" spans="3:20" ht="15.75" customHeight="1">
      <c r="C787" s="1"/>
      <c r="J787" s="2"/>
      <c r="K787" s="63"/>
      <c r="L787" s="63"/>
      <c r="M787" s="63"/>
      <c r="N787" s="3"/>
      <c r="O787" s="3"/>
      <c r="P787" s="3"/>
      <c r="R787" s="4"/>
      <c r="S787" s="5"/>
      <c r="T787" s="5"/>
    </row>
    <row r="788" spans="3:20" ht="15.75" customHeight="1">
      <c r="C788" s="1"/>
      <c r="J788" s="2"/>
      <c r="K788" s="63"/>
      <c r="L788" s="63"/>
      <c r="M788" s="63"/>
      <c r="N788" s="3"/>
      <c r="O788" s="3"/>
      <c r="P788" s="3"/>
      <c r="R788" s="4"/>
      <c r="S788" s="5"/>
      <c r="T788" s="5"/>
    </row>
    <row r="789" spans="3:20" ht="15.75" customHeight="1">
      <c r="C789" s="1"/>
      <c r="J789" s="2"/>
      <c r="K789" s="63"/>
      <c r="L789" s="63"/>
      <c r="M789" s="63"/>
      <c r="N789" s="3"/>
      <c r="O789" s="3"/>
      <c r="P789" s="3"/>
      <c r="R789" s="4"/>
      <c r="S789" s="5"/>
      <c r="T789" s="5"/>
    </row>
    <row r="790" spans="3:20" ht="15.75" customHeight="1">
      <c r="C790" s="1"/>
      <c r="J790" s="2"/>
      <c r="K790" s="63"/>
      <c r="L790" s="63"/>
      <c r="M790" s="63"/>
      <c r="N790" s="3"/>
      <c r="O790" s="3"/>
      <c r="P790" s="3"/>
      <c r="R790" s="4"/>
      <c r="S790" s="5"/>
      <c r="T790" s="5"/>
    </row>
    <row r="791" spans="3:20" ht="15.75" customHeight="1">
      <c r="C791" s="1"/>
      <c r="J791" s="2"/>
      <c r="K791" s="63"/>
      <c r="L791" s="63"/>
      <c r="M791" s="63"/>
      <c r="N791" s="3"/>
      <c r="O791" s="3"/>
      <c r="P791" s="3"/>
      <c r="R791" s="4"/>
      <c r="S791" s="5"/>
      <c r="T791" s="5"/>
    </row>
    <row r="792" spans="3:20" ht="15.75" customHeight="1">
      <c r="C792" s="1"/>
      <c r="J792" s="2"/>
      <c r="K792" s="63"/>
      <c r="L792" s="63"/>
      <c r="M792" s="63"/>
      <c r="N792" s="3"/>
      <c r="O792" s="3"/>
      <c r="P792" s="3"/>
      <c r="R792" s="4"/>
      <c r="S792" s="5"/>
      <c r="T792" s="5"/>
    </row>
    <row r="793" spans="3:20" ht="15.75" customHeight="1">
      <c r="C793" s="1"/>
      <c r="J793" s="2"/>
      <c r="K793" s="63"/>
      <c r="L793" s="63"/>
      <c r="M793" s="63"/>
      <c r="N793" s="3"/>
      <c r="O793" s="3"/>
      <c r="P793" s="3"/>
      <c r="R793" s="4"/>
      <c r="S793" s="5"/>
      <c r="T793" s="5"/>
    </row>
    <row r="794" spans="3:20" ht="15.75" customHeight="1">
      <c r="C794" s="1"/>
      <c r="J794" s="2"/>
      <c r="K794" s="63"/>
      <c r="L794" s="63"/>
      <c r="M794" s="63"/>
      <c r="N794" s="3"/>
      <c r="O794" s="3"/>
      <c r="P794" s="3"/>
      <c r="R794" s="4"/>
      <c r="S794" s="5"/>
      <c r="T794" s="5"/>
    </row>
    <row r="795" spans="3:20" ht="15.75" customHeight="1">
      <c r="C795" s="1"/>
      <c r="J795" s="2"/>
      <c r="K795" s="63"/>
      <c r="L795" s="63"/>
      <c r="M795" s="63"/>
      <c r="N795" s="3"/>
      <c r="O795" s="3"/>
      <c r="P795" s="3"/>
      <c r="R795" s="4"/>
      <c r="S795" s="5"/>
      <c r="T795" s="5"/>
    </row>
    <row r="796" spans="3:20" ht="15.75" customHeight="1">
      <c r="C796" s="1"/>
      <c r="J796" s="2"/>
      <c r="K796" s="63"/>
      <c r="L796" s="63"/>
      <c r="M796" s="63"/>
      <c r="N796" s="3"/>
      <c r="O796" s="3"/>
      <c r="P796" s="3"/>
      <c r="R796" s="4"/>
      <c r="S796" s="5"/>
      <c r="T796" s="5"/>
    </row>
    <row r="797" spans="3:20" ht="15.75" customHeight="1">
      <c r="C797" s="1"/>
      <c r="J797" s="2"/>
      <c r="K797" s="63"/>
      <c r="L797" s="63"/>
      <c r="M797" s="63"/>
      <c r="N797" s="3"/>
      <c r="O797" s="3"/>
      <c r="P797" s="3"/>
      <c r="R797" s="4"/>
      <c r="S797" s="5"/>
      <c r="T797" s="5"/>
    </row>
    <row r="798" spans="3:20" ht="15.75" customHeight="1">
      <c r="C798" s="1"/>
      <c r="J798" s="2"/>
      <c r="K798" s="63"/>
      <c r="L798" s="63"/>
      <c r="M798" s="63"/>
      <c r="N798" s="3"/>
      <c r="O798" s="3"/>
      <c r="P798" s="3"/>
      <c r="R798" s="4"/>
      <c r="S798" s="5"/>
      <c r="T798" s="5"/>
    </row>
    <row r="799" spans="3:20" ht="15.75" customHeight="1">
      <c r="C799" s="1"/>
      <c r="J799" s="2"/>
      <c r="K799" s="63"/>
      <c r="L799" s="63"/>
      <c r="M799" s="63"/>
      <c r="N799" s="3"/>
      <c r="O799" s="3"/>
      <c r="P799" s="3"/>
      <c r="R799" s="4"/>
      <c r="S799" s="5"/>
      <c r="T799" s="5"/>
    </row>
    <row r="800" spans="3:20" ht="15.75" customHeight="1">
      <c r="C800" s="1"/>
      <c r="J800" s="2"/>
      <c r="K800" s="63"/>
      <c r="L800" s="63"/>
      <c r="M800" s="63"/>
      <c r="N800" s="3"/>
      <c r="O800" s="3"/>
      <c r="P800" s="3"/>
      <c r="R800" s="4"/>
      <c r="S800" s="5"/>
      <c r="T800" s="5"/>
    </row>
    <row r="801" spans="3:20" ht="15.75" customHeight="1">
      <c r="C801" s="1"/>
      <c r="J801" s="2"/>
      <c r="K801" s="63"/>
      <c r="L801" s="63"/>
      <c r="M801" s="63"/>
      <c r="N801" s="3"/>
      <c r="O801" s="3"/>
      <c r="P801" s="3"/>
      <c r="R801" s="4"/>
      <c r="S801" s="5"/>
      <c r="T801" s="5"/>
    </row>
    <row r="802" spans="3:20" ht="15.75" customHeight="1">
      <c r="C802" s="1"/>
      <c r="J802" s="2"/>
      <c r="K802" s="63"/>
      <c r="L802" s="63"/>
      <c r="M802" s="63"/>
      <c r="N802" s="3"/>
      <c r="O802" s="3"/>
      <c r="P802" s="3"/>
      <c r="R802" s="4"/>
      <c r="S802" s="5"/>
      <c r="T802" s="5"/>
    </row>
    <row r="803" spans="3:20" ht="15.75" customHeight="1">
      <c r="C803" s="1"/>
      <c r="J803" s="2"/>
      <c r="K803" s="63"/>
      <c r="L803" s="63"/>
      <c r="M803" s="63"/>
      <c r="N803" s="3"/>
      <c r="O803" s="3"/>
      <c r="P803" s="3"/>
      <c r="R803" s="4"/>
      <c r="S803" s="5"/>
      <c r="T803" s="5"/>
    </row>
    <row r="804" spans="3:20" ht="15.75" customHeight="1">
      <c r="C804" s="1"/>
      <c r="J804" s="2"/>
      <c r="K804" s="63"/>
      <c r="L804" s="63"/>
      <c r="M804" s="63"/>
      <c r="N804" s="3"/>
      <c r="O804" s="3"/>
      <c r="P804" s="3"/>
      <c r="R804" s="4"/>
      <c r="S804" s="5"/>
      <c r="T804" s="5"/>
    </row>
    <row r="805" spans="3:20" ht="15.75" customHeight="1">
      <c r="C805" s="1"/>
      <c r="J805" s="2"/>
      <c r="K805" s="63"/>
      <c r="L805" s="63"/>
      <c r="M805" s="63"/>
      <c r="N805" s="3"/>
      <c r="O805" s="3"/>
      <c r="P805" s="3"/>
      <c r="R805" s="4"/>
      <c r="S805" s="5"/>
      <c r="T805" s="5"/>
    </row>
    <row r="806" spans="3:20" ht="15.75" customHeight="1">
      <c r="C806" s="1"/>
      <c r="J806" s="2"/>
      <c r="K806" s="63"/>
      <c r="L806" s="63"/>
      <c r="M806" s="63"/>
      <c r="N806" s="3"/>
      <c r="O806" s="3"/>
      <c r="P806" s="3"/>
      <c r="R806" s="4"/>
      <c r="S806" s="5"/>
      <c r="T806" s="5"/>
    </row>
    <row r="807" spans="3:20" ht="15.75" customHeight="1">
      <c r="C807" s="1"/>
      <c r="J807" s="2"/>
      <c r="K807" s="63"/>
      <c r="L807" s="63"/>
      <c r="M807" s="63"/>
      <c r="N807" s="3"/>
      <c r="O807" s="3"/>
      <c r="P807" s="3"/>
      <c r="R807" s="4"/>
      <c r="S807" s="5"/>
      <c r="T807" s="5"/>
    </row>
    <row r="808" spans="3:20" ht="15.75" customHeight="1">
      <c r="C808" s="1"/>
      <c r="J808" s="2"/>
      <c r="K808" s="63"/>
      <c r="L808" s="63"/>
      <c r="M808" s="63"/>
      <c r="N808" s="3"/>
      <c r="O808" s="3"/>
      <c r="P808" s="3"/>
      <c r="R808" s="4"/>
      <c r="S808" s="5"/>
      <c r="T808" s="5"/>
    </row>
    <row r="809" spans="3:20" ht="15.75" customHeight="1">
      <c r="C809" s="1"/>
      <c r="J809" s="2"/>
      <c r="K809" s="63"/>
      <c r="L809" s="63"/>
      <c r="M809" s="63"/>
      <c r="N809" s="3"/>
      <c r="O809" s="3"/>
      <c r="P809" s="3"/>
      <c r="R809" s="4"/>
      <c r="S809" s="5"/>
      <c r="T809" s="5"/>
    </row>
    <row r="810" spans="3:20" ht="15.75" customHeight="1">
      <c r="C810" s="1"/>
      <c r="J810" s="2"/>
      <c r="K810" s="63"/>
      <c r="L810" s="63"/>
      <c r="M810" s="63"/>
      <c r="N810" s="3"/>
      <c r="O810" s="3"/>
      <c r="P810" s="3"/>
      <c r="R810" s="4"/>
      <c r="S810" s="5"/>
      <c r="T810" s="5"/>
    </row>
    <row r="811" spans="3:20" ht="15.75" customHeight="1">
      <c r="C811" s="1"/>
      <c r="J811" s="2"/>
      <c r="K811" s="63"/>
      <c r="L811" s="63"/>
      <c r="M811" s="63"/>
      <c r="N811" s="3"/>
      <c r="O811" s="3"/>
      <c r="P811" s="3"/>
      <c r="R811" s="4"/>
      <c r="S811" s="5"/>
      <c r="T811" s="5"/>
    </row>
    <row r="812" spans="3:20" ht="15.75" customHeight="1">
      <c r="C812" s="1"/>
      <c r="J812" s="2"/>
      <c r="K812" s="63"/>
      <c r="L812" s="63"/>
      <c r="M812" s="63"/>
      <c r="N812" s="3"/>
      <c r="O812" s="3"/>
      <c r="P812" s="3"/>
      <c r="R812" s="4"/>
      <c r="S812" s="5"/>
      <c r="T812" s="5"/>
    </row>
    <row r="813" spans="3:20" ht="15.75" customHeight="1">
      <c r="C813" s="1"/>
      <c r="J813" s="2"/>
      <c r="K813" s="63"/>
      <c r="L813" s="63"/>
      <c r="M813" s="63"/>
      <c r="N813" s="3"/>
      <c r="O813" s="3"/>
      <c r="P813" s="3"/>
      <c r="R813" s="4"/>
      <c r="S813" s="5"/>
      <c r="T813" s="5"/>
    </row>
    <row r="814" spans="3:20" ht="15.75" customHeight="1">
      <c r="C814" s="1"/>
      <c r="J814" s="2"/>
      <c r="K814" s="63"/>
      <c r="L814" s="63"/>
      <c r="M814" s="63"/>
      <c r="N814" s="3"/>
      <c r="O814" s="3"/>
      <c r="P814" s="3"/>
      <c r="R814" s="4"/>
      <c r="S814" s="5"/>
      <c r="T814" s="5"/>
    </row>
    <row r="815" spans="3:20" ht="15.75" customHeight="1">
      <c r="C815" s="1"/>
      <c r="J815" s="2"/>
      <c r="K815" s="63"/>
      <c r="L815" s="63"/>
      <c r="M815" s="63"/>
      <c r="N815" s="3"/>
      <c r="O815" s="3"/>
      <c r="P815" s="3"/>
      <c r="R815" s="4"/>
      <c r="S815" s="5"/>
      <c r="T815" s="5"/>
    </row>
    <row r="816" spans="3:20" ht="15.75" customHeight="1">
      <c r="C816" s="1"/>
      <c r="J816" s="2"/>
      <c r="K816" s="63"/>
      <c r="L816" s="63"/>
      <c r="M816" s="63"/>
      <c r="N816" s="3"/>
      <c r="O816" s="3"/>
      <c r="P816" s="3"/>
      <c r="R816" s="4"/>
      <c r="S816" s="5"/>
      <c r="T816" s="5"/>
    </row>
    <row r="817" spans="3:20" ht="15.75" customHeight="1">
      <c r="C817" s="1"/>
      <c r="J817" s="2"/>
      <c r="K817" s="63"/>
      <c r="L817" s="63"/>
      <c r="M817" s="63"/>
      <c r="N817" s="3"/>
      <c r="O817" s="3"/>
      <c r="P817" s="3"/>
      <c r="R817" s="4"/>
      <c r="S817" s="5"/>
      <c r="T817" s="5"/>
    </row>
    <row r="818" spans="3:20" ht="15.75" customHeight="1">
      <c r="C818" s="1"/>
      <c r="J818" s="2"/>
      <c r="K818" s="63"/>
      <c r="L818" s="63"/>
      <c r="M818" s="63"/>
      <c r="N818" s="3"/>
      <c r="O818" s="3"/>
      <c r="P818" s="3"/>
      <c r="R818" s="4"/>
      <c r="S818" s="5"/>
      <c r="T818" s="5"/>
    </row>
    <row r="819" spans="3:20" ht="15.75" customHeight="1">
      <c r="C819" s="1"/>
      <c r="J819" s="2"/>
      <c r="K819" s="63"/>
      <c r="L819" s="63"/>
      <c r="M819" s="63"/>
      <c r="N819" s="3"/>
      <c r="O819" s="3"/>
      <c r="P819" s="3"/>
      <c r="R819" s="4"/>
      <c r="S819" s="5"/>
      <c r="T819" s="5"/>
    </row>
    <row r="820" spans="3:20" ht="15.75" customHeight="1">
      <c r="C820" s="1"/>
      <c r="J820" s="2"/>
      <c r="K820" s="63"/>
      <c r="L820" s="63"/>
      <c r="M820" s="63"/>
      <c r="N820" s="3"/>
      <c r="O820" s="3"/>
      <c r="P820" s="3"/>
      <c r="R820" s="4"/>
      <c r="S820" s="5"/>
      <c r="T820" s="5"/>
    </row>
    <row r="821" spans="3:20" ht="15.75" customHeight="1">
      <c r="C821" s="1"/>
      <c r="J821" s="2"/>
      <c r="K821" s="63"/>
      <c r="L821" s="63"/>
      <c r="M821" s="63"/>
      <c r="N821" s="3"/>
      <c r="O821" s="3"/>
      <c r="P821" s="3"/>
      <c r="R821" s="4"/>
      <c r="S821" s="5"/>
      <c r="T821" s="5"/>
    </row>
    <row r="822" spans="3:20" ht="15.75" customHeight="1">
      <c r="C822" s="1"/>
      <c r="J822" s="2"/>
      <c r="K822" s="63"/>
      <c r="L822" s="63"/>
      <c r="M822" s="63"/>
      <c r="N822" s="3"/>
      <c r="O822" s="3"/>
      <c r="P822" s="3"/>
      <c r="R822" s="4"/>
      <c r="S822" s="5"/>
      <c r="T822" s="5"/>
    </row>
    <row r="823" spans="3:20" ht="15.75" customHeight="1">
      <c r="C823" s="1"/>
      <c r="J823" s="2"/>
      <c r="K823" s="63"/>
      <c r="L823" s="63"/>
      <c r="M823" s="63"/>
      <c r="N823" s="3"/>
      <c r="O823" s="3"/>
      <c r="P823" s="3"/>
      <c r="R823" s="4"/>
      <c r="S823" s="5"/>
      <c r="T823" s="5"/>
    </row>
    <row r="824" spans="3:20" ht="15.75" customHeight="1">
      <c r="C824" s="1"/>
      <c r="J824" s="2"/>
      <c r="K824" s="63"/>
      <c r="L824" s="63"/>
      <c r="M824" s="63"/>
      <c r="N824" s="3"/>
      <c r="O824" s="3"/>
      <c r="P824" s="3"/>
      <c r="R824" s="4"/>
      <c r="S824" s="5"/>
      <c r="T824" s="5"/>
    </row>
    <row r="825" spans="3:20" ht="15.75" customHeight="1">
      <c r="C825" s="1"/>
      <c r="J825" s="2"/>
      <c r="K825" s="63"/>
      <c r="L825" s="63"/>
      <c r="M825" s="63"/>
      <c r="N825" s="3"/>
      <c r="O825" s="3"/>
      <c r="P825" s="3"/>
      <c r="R825" s="4"/>
      <c r="S825" s="5"/>
      <c r="T825" s="5"/>
    </row>
    <row r="826" spans="3:20" ht="15.75" customHeight="1">
      <c r="C826" s="1"/>
      <c r="J826" s="2"/>
      <c r="K826" s="63"/>
      <c r="L826" s="63"/>
      <c r="M826" s="63"/>
      <c r="N826" s="3"/>
      <c r="O826" s="3"/>
      <c r="P826" s="3"/>
      <c r="R826" s="4"/>
      <c r="S826" s="5"/>
      <c r="T826" s="5"/>
    </row>
    <row r="827" spans="3:20" ht="15.75" customHeight="1">
      <c r="C827" s="1"/>
      <c r="J827" s="2"/>
      <c r="K827" s="63"/>
      <c r="L827" s="63"/>
      <c r="M827" s="63"/>
      <c r="N827" s="3"/>
      <c r="O827" s="3"/>
      <c r="P827" s="3"/>
      <c r="R827" s="4"/>
      <c r="S827" s="5"/>
      <c r="T827" s="5"/>
    </row>
    <row r="828" spans="3:20" ht="15.75" customHeight="1">
      <c r="C828" s="1"/>
      <c r="J828" s="2"/>
      <c r="K828" s="63"/>
      <c r="L828" s="63"/>
      <c r="M828" s="63"/>
      <c r="N828" s="3"/>
      <c r="O828" s="3"/>
      <c r="P828" s="3"/>
      <c r="R828" s="4"/>
      <c r="S828" s="5"/>
      <c r="T828" s="5"/>
    </row>
    <row r="829" spans="3:20" ht="15.75" customHeight="1">
      <c r="C829" s="1"/>
      <c r="J829" s="2"/>
      <c r="K829" s="63"/>
      <c r="L829" s="63"/>
      <c r="M829" s="63"/>
      <c r="N829" s="3"/>
      <c r="O829" s="3"/>
      <c r="P829" s="3"/>
      <c r="R829" s="4"/>
      <c r="S829" s="5"/>
      <c r="T829" s="5"/>
    </row>
    <row r="830" spans="3:20" ht="15.75" customHeight="1">
      <c r="C830" s="1"/>
      <c r="J830" s="2"/>
      <c r="K830" s="63"/>
      <c r="L830" s="63"/>
      <c r="M830" s="63"/>
      <c r="N830" s="3"/>
      <c r="O830" s="3"/>
      <c r="P830" s="3"/>
      <c r="R830" s="4"/>
      <c r="S830" s="5"/>
      <c r="T830" s="5"/>
    </row>
    <row r="831" spans="3:20" ht="15.75" customHeight="1">
      <c r="C831" s="1"/>
      <c r="J831" s="2"/>
      <c r="K831" s="63"/>
      <c r="L831" s="63"/>
      <c r="M831" s="63"/>
      <c r="N831" s="3"/>
      <c r="O831" s="3"/>
      <c r="P831" s="3"/>
      <c r="R831" s="4"/>
      <c r="S831" s="5"/>
      <c r="T831" s="5"/>
    </row>
    <row r="832" spans="3:20" ht="15.75" customHeight="1">
      <c r="C832" s="1"/>
      <c r="J832" s="2"/>
      <c r="K832" s="63"/>
      <c r="L832" s="63"/>
      <c r="M832" s="63"/>
      <c r="N832" s="3"/>
      <c r="O832" s="3"/>
      <c r="P832" s="3"/>
      <c r="R832" s="4"/>
      <c r="S832" s="5"/>
      <c r="T832" s="5"/>
    </row>
    <row r="833" spans="3:20" ht="15.75" customHeight="1">
      <c r="C833" s="1"/>
      <c r="J833" s="2"/>
      <c r="K833" s="63"/>
      <c r="L833" s="63"/>
      <c r="M833" s="63"/>
      <c r="N833" s="3"/>
      <c r="O833" s="3"/>
      <c r="P833" s="3"/>
      <c r="R833" s="4"/>
      <c r="S833" s="5"/>
      <c r="T833" s="5"/>
    </row>
    <row r="834" spans="3:20" ht="15.75" customHeight="1">
      <c r="C834" s="1"/>
      <c r="J834" s="2"/>
      <c r="K834" s="63"/>
      <c r="L834" s="63"/>
      <c r="M834" s="63"/>
      <c r="N834" s="3"/>
      <c r="O834" s="3"/>
      <c r="P834" s="3"/>
      <c r="R834" s="4"/>
      <c r="S834" s="5"/>
      <c r="T834" s="5"/>
    </row>
    <row r="835" spans="3:20" ht="15.75" customHeight="1">
      <c r="C835" s="1"/>
      <c r="J835" s="2"/>
      <c r="K835" s="63"/>
      <c r="L835" s="63"/>
      <c r="M835" s="63"/>
      <c r="N835" s="3"/>
      <c r="O835" s="3"/>
      <c r="P835" s="3"/>
      <c r="R835" s="4"/>
      <c r="S835" s="5"/>
      <c r="T835" s="5"/>
    </row>
    <row r="836" spans="3:20" ht="15.75" customHeight="1">
      <c r="C836" s="1"/>
      <c r="J836" s="2"/>
      <c r="K836" s="63"/>
      <c r="L836" s="63"/>
      <c r="M836" s="63"/>
      <c r="N836" s="3"/>
      <c r="O836" s="3"/>
      <c r="P836" s="3"/>
      <c r="R836" s="4"/>
      <c r="S836" s="5"/>
      <c r="T836" s="5"/>
    </row>
    <row r="837" spans="3:20" ht="15.75" customHeight="1">
      <c r="C837" s="1"/>
      <c r="J837" s="2"/>
      <c r="K837" s="63"/>
      <c r="L837" s="63"/>
      <c r="M837" s="63"/>
      <c r="N837" s="3"/>
      <c r="O837" s="3"/>
      <c r="P837" s="3"/>
      <c r="R837" s="4"/>
      <c r="S837" s="5"/>
      <c r="T837" s="5"/>
    </row>
    <row r="838" spans="3:20" ht="15.75" customHeight="1">
      <c r="C838" s="1"/>
      <c r="J838" s="2"/>
      <c r="K838" s="63"/>
      <c r="L838" s="63"/>
      <c r="M838" s="63"/>
      <c r="N838" s="3"/>
      <c r="O838" s="3"/>
      <c r="P838" s="3"/>
      <c r="R838" s="4"/>
      <c r="S838" s="5"/>
      <c r="T838" s="5"/>
    </row>
    <row r="839" spans="3:20" ht="15.75" customHeight="1">
      <c r="C839" s="1"/>
      <c r="J839" s="2"/>
      <c r="K839" s="63"/>
      <c r="L839" s="63"/>
      <c r="M839" s="63"/>
      <c r="N839" s="3"/>
      <c r="O839" s="3"/>
      <c r="P839" s="3"/>
      <c r="R839" s="4"/>
      <c r="S839" s="5"/>
      <c r="T839" s="5"/>
    </row>
    <row r="840" spans="3:20" ht="15.75" customHeight="1">
      <c r="C840" s="1"/>
      <c r="J840" s="2"/>
      <c r="K840" s="63"/>
      <c r="L840" s="63"/>
      <c r="M840" s="63"/>
      <c r="N840" s="3"/>
      <c r="O840" s="3"/>
      <c r="P840" s="3"/>
      <c r="R840" s="4"/>
      <c r="S840" s="5"/>
      <c r="T840" s="5"/>
    </row>
    <row r="841" spans="3:20" ht="15.75" customHeight="1">
      <c r="C841" s="1"/>
      <c r="J841" s="2"/>
      <c r="K841" s="63"/>
      <c r="L841" s="63"/>
      <c r="M841" s="63"/>
      <c r="N841" s="3"/>
      <c r="O841" s="3"/>
      <c r="P841" s="3"/>
      <c r="R841" s="4"/>
      <c r="S841" s="5"/>
      <c r="T841" s="5"/>
    </row>
    <row r="842" spans="3:20" ht="15.75" customHeight="1">
      <c r="C842" s="1"/>
      <c r="J842" s="2"/>
      <c r="K842" s="63"/>
      <c r="L842" s="63"/>
      <c r="M842" s="63"/>
      <c r="N842" s="3"/>
      <c r="O842" s="3"/>
      <c r="P842" s="3"/>
      <c r="R842" s="4"/>
      <c r="S842" s="5"/>
      <c r="T842" s="5"/>
    </row>
    <row r="843" spans="3:20" ht="15.75" customHeight="1">
      <c r="C843" s="1"/>
      <c r="J843" s="2"/>
      <c r="K843" s="63"/>
      <c r="L843" s="63"/>
      <c r="M843" s="63"/>
      <c r="N843" s="3"/>
      <c r="O843" s="3"/>
      <c r="P843" s="3"/>
      <c r="R843" s="4"/>
      <c r="S843" s="5"/>
      <c r="T843" s="5"/>
    </row>
    <row r="844" spans="3:20" ht="15.75" customHeight="1">
      <c r="C844" s="1"/>
      <c r="J844" s="2"/>
      <c r="K844" s="63"/>
      <c r="L844" s="63"/>
      <c r="M844" s="63"/>
      <c r="N844" s="3"/>
      <c r="O844" s="3"/>
      <c r="P844" s="3"/>
      <c r="R844" s="4"/>
      <c r="S844" s="5"/>
      <c r="T844" s="5"/>
    </row>
    <row r="845" spans="3:20" ht="15.75" customHeight="1">
      <c r="C845" s="1"/>
      <c r="J845" s="2"/>
      <c r="K845" s="63"/>
      <c r="L845" s="63"/>
      <c r="M845" s="63"/>
      <c r="N845" s="3"/>
      <c r="O845" s="3"/>
      <c r="P845" s="3"/>
      <c r="R845" s="4"/>
      <c r="S845" s="5"/>
      <c r="T845" s="5"/>
    </row>
    <row r="846" spans="3:20" ht="15.75" customHeight="1">
      <c r="C846" s="1"/>
      <c r="J846" s="2"/>
      <c r="K846" s="63"/>
      <c r="L846" s="63"/>
      <c r="M846" s="63"/>
      <c r="N846" s="3"/>
      <c r="O846" s="3"/>
      <c r="P846" s="3"/>
      <c r="R846" s="4"/>
      <c r="S846" s="5"/>
      <c r="T846" s="5"/>
    </row>
    <row r="847" spans="3:20" ht="15.75" customHeight="1">
      <c r="C847" s="1"/>
      <c r="J847" s="2"/>
      <c r="K847" s="63"/>
      <c r="L847" s="63"/>
      <c r="M847" s="63"/>
      <c r="N847" s="3"/>
      <c r="O847" s="3"/>
      <c r="P847" s="3"/>
      <c r="R847" s="4"/>
      <c r="S847" s="5"/>
      <c r="T847" s="5"/>
    </row>
    <row r="848" spans="3:20" ht="15.75" customHeight="1">
      <c r="C848" s="1"/>
      <c r="J848" s="2"/>
      <c r="K848" s="63"/>
      <c r="L848" s="63"/>
      <c r="M848" s="63"/>
      <c r="N848" s="3"/>
      <c r="O848" s="3"/>
      <c r="P848" s="3"/>
      <c r="R848" s="4"/>
      <c r="S848" s="5"/>
      <c r="T848" s="5"/>
    </row>
    <row r="849" spans="3:20" ht="15.75" customHeight="1">
      <c r="C849" s="1"/>
      <c r="J849" s="2"/>
      <c r="K849" s="63"/>
      <c r="L849" s="63"/>
      <c r="M849" s="63"/>
      <c r="N849" s="3"/>
      <c r="O849" s="3"/>
      <c r="P849" s="3"/>
      <c r="R849" s="4"/>
      <c r="S849" s="5"/>
      <c r="T849" s="5"/>
    </row>
    <row r="850" spans="3:20" ht="15.75" customHeight="1">
      <c r="C850" s="1"/>
      <c r="J850" s="2"/>
      <c r="K850" s="63"/>
      <c r="L850" s="63"/>
      <c r="M850" s="63"/>
      <c r="N850" s="3"/>
      <c r="O850" s="3"/>
      <c r="P850" s="3"/>
      <c r="R850" s="4"/>
      <c r="S850" s="5"/>
      <c r="T850" s="5"/>
    </row>
    <row r="851" spans="3:20" ht="15.75" customHeight="1">
      <c r="C851" s="1"/>
      <c r="J851" s="2"/>
      <c r="K851" s="63"/>
      <c r="L851" s="63"/>
      <c r="M851" s="63"/>
      <c r="N851" s="3"/>
      <c r="O851" s="3"/>
      <c r="P851" s="3"/>
      <c r="R851" s="4"/>
      <c r="S851" s="5"/>
      <c r="T851" s="5"/>
    </row>
    <row r="852" spans="3:20" ht="15.75" customHeight="1">
      <c r="C852" s="1"/>
      <c r="J852" s="2"/>
      <c r="K852" s="63"/>
      <c r="L852" s="63"/>
      <c r="M852" s="63"/>
      <c r="N852" s="3"/>
      <c r="O852" s="3"/>
      <c r="P852" s="3"/>
      <c r="R852" s="4"/>
      <c r="S852" s="5"/>
      <c r="T852" s="5"/>
    </row>
    <row r="853" spans="3:20" ht="15.75" customHeight="1">
      <c r="C853" s="1"/>
      <c r="J853" s="2"/>
      <c r="K853" s="63"/>
      <c r="L853" s="63"/>
      <c r="M853" s="63"/>
      <c r="N853" s="3"/>
      <c r="O853" s="3"/>
      <c r="P853" s="3"/>
      <c r="R853" s="4"/>
      <c r="S853" s="5"/>
      <c r="T853" s="5"/>
    </row>
    <row r="854" spans="3:20" ht="15.75" customHeight="1">
      <c r="C854" s="1"/>
      <c r="J854" s="2"/>
      <c r="K854" s="63"/>
      <c r="L854" s="63"/>
      <c r="M854" s="63"/>
      <c r="N854" s="3"/>
      <c r="O854" s="3"/>
      <c r="P854" s="3"/>
      <c r="R854" s="4"/>
      <c r="S854" s="5"/>
      <c r="T854" s="5"/>
    </row>
    <row r="855" spans="3:20" ht="15.75" customHeight="1">
      <c r="C855" s="1"/>
      <c r="J855" s="2"/>
      <c r="K855" s="63"/>
      <c r="L855" s="63"/>
      <c r="M855" s="63"/>
      <c r="N855" s="3"/>
      <c r="O855" s="3"/>
      <c r="P855" s="3"/>
      <c r="R855" s="4"/>
      <c r="S855" s="5"/>
      <c r="T855" s="5"/>
    </row>
    <row r="856" spans="3:20" ht="15.75" customHeight="1">
      <c r="C856" s="1"/>
      <c r="J856" s="2"/>
      <c r="K856" s="63"/>
      <c r="L856" s="63"/>
      <c r="M856" s="63"/>
      <c r="N856" s="3"/>
      <c r="O856" s="3"/>
      <c r="P856" s="3"/>
      <c r="R856" s="4"/>
      <c r="S856" s="5"/>
      <c r="T856" s="5"/>
    </row>
    <row r="857" spans="3:20" ht="15.75" customHeight="1">
      <c r="C857" s="1"/>
      <c r="J857" s="2"/>
      <c r="K857" s="63"/>
      <c r="L857" s="63"/>
      <c r="M857" s="63"/>
      <c r="N857" s="3"/>
      <c r="O857" s="3"/>
      <c r="P857" s="3"/>
      <c r="R857" s="4"/>
      <c r="S857" s="5"/>
      <c r="T857" s="5"/>
    </row>
    <row r="858" spans="3:20" ht="15.75" customHeight="1">
      <c r="C858" s="1"/>
      <c r="J858" s="2"/>
      <c r="K858" s="63"/>
      <c r="L858" s="63"/>
      <c r="M858" s="63"/>
      <c r="N858" s="3"/>
      <c r="O858" s="3"/>
      <c r="P858" s="3"/>
      <c r="R858" s="4"/>
      <c r="S858" s="5"/>
      <c r="T858" s="5"/>
    </row>
    <row r="859" spans="3:20" ht="15.75" customHeight="1">
      <c r="C859" s="1"/>
      <c r="J859" s="2"/>
      <c r="K859" s="63"/>
      <c r="L859" s="63"/>
      <c r="M859" s="63"/>
      <c r="N859" s="3"/>
      <c r="O859" s="3"/>
      <c r="P859" s="3"/>
      <c r="R859" s="4"/>
      <c r="S859" s="5"/>
      <c r="T859" s="5"/>
    </row>
    <row r="860" spans="3:20" ht="15.75" customHeight="1">
      <c r="C860" s="1"/>
      <c r="J860" s="2"/>
      <c r="K860" s="63"/>
      <c r="L860" s="63"/>
      <c r="M860" s="63"/>
      <c r="N860" s="3"/>
      <c r="O860" s="3"/>
      <c r="P860" s="3"/>
      <c r="R860" s="4"/>
      <c r="S860" s="5"/>
      <c r="T860" s="5"/>
    </row>
    <row r="861" spans="3:20" ht="15.75" customHeight="1">
      <c r="C861" s="1"/>
      <c r="J861" s="2"/>
      <c r="K861" s="63"/>
      <c r="L861" s="63"/>
      <c r="M861" s="63"/>
      <c r="N861" s="3"/>
      <c r="O861" s="3"/>
      <c r="P861" s="3"/>
      <c r="R861" s="4"/>
      <c r="S861" s="5"/>
      <c r="T861" s="5"/>
    </row>
    <row r="862" spans="3:20" ht="15.75" customHeight="1">
      <c r="C862" s="1"/>
      <c r="J862" s="2"/>
      <c r="K862" s="63"/>
      <c r="L862" s="63"/>
      <c r="M862" s="63"/>
      <c r="N862" s="3"/>
      <c r="O862" s="3"/>
      <c r="P862" s="3"/>
      <c r="R862" s="4"/>
      <c r="S862" s="5"/>
      <c r="T862" s="5"/>
    </row>
    <row r="863" spans="3:20" ht="15.75" customHeight="1">
      <c r="C863" s="1"/>
      <c r="J863" s="2"/>
      <c r="K863" s="63"/>
      <c r="L863" s="63"/>
      <c r="M863" s="63"/>
      <c r="N863" s="3"/>
      <c r="O863" s="3"/>
      <c r="P863" s="3"/>
      <c r="R863" s="4"/>
      <c r="S863" s="5"/>
      <c r="T863" s="5"/>
    </row>
    <row r="864" spans="3:20" ht="15.75" customHeight="1">
      <c r="C864" s="1"/>
      <c r="J864" s="2"/>
      <c r="K864" s="63"/>
      <c r="L864" s="63"/>
      <c r="M864" s="63"/>
      <c r="N864" s="3"/>
      <c r="O864" s="3"/>
      <c r="P864" s="3"/>
      <c r="R864" s="4"/>
      <c r="S864" s="5"/>
      <c r="T864" s="5"/>
    </row>
    <row r="865" spans="3:20" ht="15.75" customHeight="1">
      <c r="C865" s="1"/>
      <c r="J865" s="2"/>
      <c r="K865" s="63"/>
      <c r="L865" s="63"/>
      <c r="M865" s="63"/>
      <c r="N865" s="3"/>
      <c r="O865" s="3"/>
      <c r="P865" s="3"/>
      <c r="R865" s="4"/>
      <c r="S865" s="5"/>
      <c r="T865" s="5"/>
    </row>
    <row r="866" spans="3:20" ht="15.75" customHeight="1">
      <c r="C866" s="1"/>
      <c r="J866" s="2"/>
      <c r="K866" s="63"/>
      <c r="L866" s="63"/>
      <c r="M866" s="63"/>
      <c r="N866" s="3"/>
      <c r="O866" s="3"/>
      <c r="P866" s="3"/>
      <c r="R866" s="4"/>
      <c r="S866" s="5"/>
      <c r="T866" s="5"/>
    </row>
    <row r="867" spans="3:20" ht="15.75" customHeight="1">
      <c r="C867" s="1"/>
      <c r="J867" s="2"/>
      <c r="K867" s="63"/>
      <c r="L867" s="63"/>
      <c r="M867" s="63"/>
      <c r="N867" s="3"/>
      <c r="O867" s="3"/>
      <c r="P867" s="3"/>
      <c r="R867" s="4"/>
      <c r="S867" s="5"/>
      <c r="T867" s="5"/>
    </row>
    <row r="868" spans="3:20" ht="15.75" customHeight="1">
      <c r="C868" s="1"/>
      <c r="J868" s="2"/>
      <c r="K868" s="63"/>
      <c r="L868" s="63"/>
      <c r="M868" s="63"/>
      <c r="N868" s="3"/>
      <c r="O868" s="3"/>
      <c r="P868" s="3"/>
      <c r="R868" s="4"/>
      <c r="S868" s="5"/>
      <c r="T868" s="5"/>
    </row>
    <row r="869" spans="3:20" ht="15.75" customHeight="1">
      <c r="C869" s="1"/>
      <c r="J869" s="2"/>
      <c r="K869" s="63"/>
      <c r="L869" s="63"/>
      <c r="M869" s="63"/>
      <c r="N869" s="3"/>
      <c r="O869" s="3"/>
      <c r="P869" s="3"/>
      <c r="R869" s="4"/>
      <c r="S869" s="5"/>
      <c r="T869" s="5"/>
    </row>
    <row r="870" spans="3:20" ht="15.75" customHeight="1">
      <c r="C870" s="1"/>
      <c r="J870" s="2"/>
      <c r="K870" s="63"/>
      <c r="L870" s="63"/>
      <c r="M870" s="63"/>
      <c r="N870" s="3"/>
      <c r="O870" s="3"/>
      <c r="P870" s="3"/>
      <c r="R870" s="4"/>
      <c r="S870" s="5"/>
      <c r="T870" s="5"/>
    </row>
    <row r="871" spans="3:20" ht="15.75" customHeight="1">
      <c r="C871" s="1"/>
      <c r="J871" s="2"/>
      <c r="K871" s="63"/>
      <c r="L871" s="63"/>
      <c r="M871" s="63"/>
      <c r="N871" s="3"/>
      <c r="O871" s="3"/>
      <c r="P871" s="3"/>
      <c r="R871" s="4"/>
      <c r="S871" s="5"/>
      <c r="T871" s="5"/>
    </row>
    <row r="872" spans="3:20" ht="15.75" customHeight="1">
      <c r="C872" s="1"/>
      <c r="J872" s="2"/>
      <c r="K872" s="63"/>
      <c r="L872" s="63"/>
      <c r="M872" s="63"/>
      <c r="N872" s="3"/>
      <c r="O872" s="3"/>
      <c r="P872" s="3"/>
      <c r="R872" s="4"/>
      <c r="S872" s="5"/>
      <c r="T872" s="5"/>
    </row>
    <row r="873" spans="3:20" ht="15.75" customHeight="1">
      <c r="C873" s="1"/>
      <c r="J873" s="2"/>
      <c r="K873" s="63"/>
      <c r="L873" s="63"/>
      <c r="M873" s="63"/>
      <c r="N873" s="3"/>
      <c r="O873" s="3"/>
      <c r="P873" s="3"/>
      <c r="R873" s="4"/>
      <c r="S873" s="5"/>
      <c r="T873" s="5"/>
    </row>
    <row r="874" spans="3:20" ht="15.75" customHeight="1">
      <c r="C874" s="1"/>
      <c r="J874" s="2"/>
      <c r="K874" s="63"/>
      <c r="L874" s="63"/>
      <c r="M874" s="63"/>
      <c r="N874" s="3"/>
      <c r="O874" s="3"/>
      <c r="P874" s="3"/>
      <c r="R874" s="4"/>
      <c r="S874" s="5"/>
      <c r="T874" s="5"/>
    </row>
    <row r="875" spans="3:20" ht="15.75" customHeight="1">
      <c r="C875" s="1"/>
      <c r="J875" s="2"/>
      <c r="K875" s="63"/>
      <c r="L875" s="63"/>
      <c r="M875" s="63"/>
      <c r="N875" s="3"/>
      <c r="O875" s="3"/>
      <c r="P875" s="3"/>
      <c r="R875" s="4"/>
      <c r="S875" s="5"/>
      <c r="T875" s="5"/>
    </row>
    <row r="876" spans="3:20" ht="15.75" customHeight="1">
      <c r="C876" s="1"/>
      <c r="J876" s="2"/>
      <c r="K876" s="63"/>
      <c r="L876" s="63"/>
      <c r="M876" s="63"/>
      <c r="N876" s="3"/>
      <c r="O876" s="3"/>
      <c r="P876" s="3"/>
      <c r="R876" s="4"/>
      <c r="S876" s="5"/>
      <c r="T876" s="5"/>
    </row>
    <row r="877" spans="3:20" ht="15.75" customHeight="1">
      <c r="C877" s="1"/>
      <c r="J877" s="2"/>
      <c r="K877" s="63"/>
      <c r="L877" s="63"/>
      <c r="M877" s="63"/>
      <c r="N877" s="3"/>
      <c r="O877" s="3"/>
      <c r="P877" s="3"/>
      <c r="R877" s="4"/>
      <c r="S877" s="5"/>
      <c r="T877" s="5"/>
    </row>
    <row r="878" spans="3:20" ht="15.75" customHeight="1">
      <c r="C878" s="1"/>
      <c r="J878" s="2"/>
      <c r="K878" s="63"/>
      <c r="L878" s="63"/>
      <c r="M878" s="63"/>
      <c r="N878" s="3"/>
      <c r="O878" s="3"/>
      <c r="P878" s="3"/>
      <c r="R878" s="4"/>
      <c r="S878" s="5"/>
      <c r="T878" s="5"/>
    </row>
    <row r="879" spans="3:20" ht="15.75" customHeight="1">
      <c r="C879" s="1"/>
      <c r="J879" s="2"/>
      <c r="K879" s="63"/>
      <c r="L879" s="63"/>
      <c r="M879" s="63"/>
      <c r="N879" s="3"/>
      <c r="O879" s="3"/>
      <c r="P879" s="3"/>
      <c r="R879" s="4"/>
      <c r="S879" s="5"/>
      <c r="T879" s="5"/>
    </row>
    <row r="880" spans="3:20" ht="15.75" customHeight="1">
      <c r="C880" s="1"/>
      <c r="J880" s="2"/>
      <c r="K880" s="63"/>
      <c r="L880" s="63"/>
      <c r="M880" s="63"/>
      <c r="N880" s="3"/>
      <c r="O880" s="3"/>
      <c r="P880" s="3"/>
      <c r="R880" s="4"/>
      <c r="S880" s="5"/>
      <c r="T880" s="5"/>
    </row>
    <row r="881" spans="3:20" ht="15.75" customHeight="1">
      <c r="C881" s="1"/>
      <c r="J881" s="2"/>
      <c r="K881" s="63"/>
      <c r="L881" s="63"/>
      <c r="M881" s="63"/>
      <c r="N881" s="3"/>
      <c r="O881" s="3"/>
      <c r="P881" s="3"/>
      <c r="R881" s="4"/>
      <c r="S881" s="5"/>
      <c r="T881" s="5"/>
    </row>
    <row r="882" spans="3:20" ht="15.75" customHeight="1">
      <c r="C882" s="1"/>
      <c r="J882" s="2"/>
      <c r="K882" s="63"/>
      <c r="L882" s="63"/>
      <c r="M882" s="63"/>
      <c r="N882" s="3"/>
      <c r="O882" s="3"/>
      <c r="P882" s="3"/>
      <c r="R882" s="4"/>
      <c r="S882" s="5"/>
      <c r="T882" s="5"/>
    </row>
    <row r="883" spans="3:20" ht="15.75" customHeight="1">
      <c r="C883" s="1"/>
      <c r="J883" s="2"/>
      <c r="K883" s="63"/>
      <c r="L883" s="63"/>
      <c r="M883" s="63"/>
      <c r="N883" s="3"/>
      <c r="O883" s="3"/>
      <c r="P883" s="3"/>
      <c r="R883" s="4"/>
      <c r="S883" s="5"/>
      <c r="T883" s="5"/>
    </row>
    <row r="884" spans="3:20" ht="15.75" customHeight="1">
      <c r="C884" s="1"/>
      <c r="J884" s="2"/>
      <c r="K884" s="63"/>
      <c r="L884" s="63"/>
      <c r="M884" s="63"/>
      <c r="N884" s="3"/>
      <c r="O884" s="3"/>
      <c r="P884" s="3"/>
      <c r="R884" s="4"/>
      <c r="S884" s="5"/>
      <c r="T884" s="5"/>
    </row>
    <row r="885" spans="3:20" ht="15.75" customHeight="1">
      <c r="C885" s="1"/>
      <c r="J885" s="2"/>
      <c r="K885" s="63"/>
      <c r="L885" s="63"/>
      <c r="M885" s="63"/>
      <c r="N885" s="3"/>
      <c r="O885" s="3"/>
      <c r="P885" s="3"/>
      <c r="R885" s="4"/>
      <c r="S885" s="5"/>
      <c r="T885" s="5"/>
    </row>
    <row r="886" spans="3:20" ht="15.75" customHeight="1">
      <c r="C886" s="1"/>
      <c r="J886" s="2"/>
      <c r="K886" s="63"/>
      <c r="L886" s="63"/>
      <c r="M886" s="63"/>
      <c r="N886" s="3"/>
      <c r="O886" s="3"/>
      <c r="P886" s="3"/>
      <c r="R886" s="4"/>
      <c r="S886" s="5"/>
      <c r="T886" s="5"/>
    </row>
    <row r="887" spans="3:20" ht="15.75" customHeight="1">
      <c r="C887" s="1"/>
      <c r="J887" s="2"/>
      <c r="K887" s="63"/>
      <c r="L887" s="63"/>
      <c r="M887" s="63"/>
      <c r="N887" s="3"/>
      <c r="O887" s="3"/>
      <c r="P887" s="3"/>
      <c r="R887" s="4"/>
      <c r="S887" s="5"/>
      <c r="T887" s="5"/>
    </row>
    <row r="888" spans="3:20" ht="15.75" customHeight="1">
      <c r="C888" s="1"/>
      <c r="J888" s="2"/>
      <c r="K888" s="63"/>
      <c r="L888" s="63"/>
      <c r="M888" s="63"/>
      <c r="N888" s="3"/>
      <c r="O888" s="3"/>
      <c r="P888" s="3"/>
      <c r="R888" s="4"/>
      <c r="S888" s="5"/>
      <c r="T888" s="5"/>
    </row>
    <row r="889" spans="3:20" ht="15.75" customHeight="1">
      <c r="C889" s="1"/>
      <c r="J889" s="2"/>
      <c r="K889" s="63"/>
      <c r="L889" s="63"/>
      <c r="M889" s="63"/>
      <c r="N889" s="3"/>
      <c r="O889" s="3"/>
      <c r="P889" s="3"/>
      <c r="R889" s="4"/>
      <c r="S889" s="5"/>
      <c r="T889" s="5"/>
    </row>
    <row r="890" spans="3:20" ht="15.75" customHeight="1">
      <c r="C890" s="1"/>
      <c r="J890" s="2"/>
      <c r="K890" s="63"/>
      <c r="L890" s="63"/>
      <c r="M890" s="63"/>
      <c r="N890" s="3"/>
      <c r="O890" s="3"/>
      <c r="P890" s="3"/>
      <c r="R890" s="4"/>
      <c r="S890" s="5"/>
      <c r="T890" s="5"/>
    </row>
    <row r="891" spans="3:20" ht="15.75" customHeight="1">
      <c r="C891" s="1"/>
      <c r="J891" s="2"/>
      <c r="K891" s="63"/>
      <c r="L891" s="63"/>
      <c r="M891" s="63"/>
      <c r="N891" s="3"/>
      <c r="O891" s="3"/>
      <c r="P891" s="3"/>
      <c r="R891" s="4"/>
      <c r="S891" s="5"/>
      <c r="T891" s="5"/>
    </row>
    <row r="892" spans="3:20" ht="15.75" customHeight="1">
      <c r="C892" s="1"/>
      <c r="J892" s="2"/>
      <c r="K892" s="63"/>
      <c r="L892" s="63"/>
      <c r="M892" s="63"/>
      <c r="N892" s="3"/>
      <c r="O892" s="3"/>
      <c r="P892" s="3"/>
      <c r="R892" s="4"/>
      <c r="S892" s="5"/>
      <c r="T892" s="5"/>
    </row>
    <row r="893" spans="3:20" ht="15.75" customHeight="1">
      <c r="C893" s="1"/>
      <c r="J893" s="2"/>
      <c r="K893" s="63"/>
      <c r="L893" s="63"/>
      <c r="M893" s="63"/>
      <c r="N893" s="3"/>
      <c r="O893" s="3"/>
      <c r="P893" s="3"/>
      <c r="R893" s="4"/>
      <c r="S893" s="5"/>
      <c r="T893" s="5"/>
    </row>
    <row r="894" spans="3:20" ht="15.75" customHeight="1">
      <c r="C894" s="1"/>
      <c r="J894" s="2"/>
      <c r="K894" s="63"/>
      <c r="L894" s="63"/>
      <c r="M894" s="63"/>
      <c r="N894" s="3"/>
      <c r="O894" s="3"/>
      <c r="P894" s="3"/>
      <c r="R894" s="4"/>
      <c r="S894" s="5"/>
      <c r="T894" s="5"/>
    </row>
    <row r="895" spans="3:20" ht="15.75" customHeight="1">
      <c r="C895" s="1"/>
      <c r="J895" s="2"/>
      <c r="K895" s="63"/>
      <c r="L895" s="63"/>
      <c r="M895" s="63"/>
      <c r="N895" s="3"/>
      <c r="O895" s="3"/>
      <c r="P895" s="3"/>
      <c r="R895" s="4"/>
      <c r="S895" s="5"/>
      <c r="T895" s="5"/>
    </row>
    <row r="896" spans="3:20" ht="15.75" customHeight="1">
      <c r="C896" s="1"/>
      <c r="J896" s="2"/>
      <c r="K896" s="63"/>
      <c r="L896" s="63"/>
      <c r="M896" s="63"/>
      <c r="N896" s="3"/>
      <c r="O896" s="3"/>
      <c r="P896" s="3"/>
      <c r="R896" s="4"/>
      <c r="S896" s="5"/>
      <c r="T896" s="5"/>
    </row>
    <row r="897" spans="3:20" ht="15.75" customHeight="1">
      <c r="C897" s="1"/>
      <c r="J897" s="2"/>
      <c r="K897" s="63"/>
      <c r="L897" s="63"/>
      <c r="M897" s="63"/>
      <c r="N897" s="3"/>
      <c r="O897" s="3"/>
      <c r="P897" s="3"/>
      <c r="R897" s="4"/>
      <c r="S897" s="5"/>
      <c r="T897" s="5"/>
    </row>
    <row r="898" spans="3:20" ht="15.75" customHeight="1">
      <c r="C898" s="1"/>
      <c r="J898" s="2"/>
      <c r="K898" s="63"/>
      <c r="L898" s="63"/>
      <c r="M898" s="63"/>
      <c r="N898" s="3"/>
      <c r="O898" s="3"/>
      <c r="P898" s="3"/>
      <c r="R898" s="4"/>
      <c r="S898" s="5"/>
      <c r="T898" s="5"/>
    </row>
    <row r="899" spans="3:20" ht="15.75" customHeight="1">
      <c r="C899" s="1"/>
      <c r="J899" s="2"/>
      <c r="K899" s="63"/>
      <c r="L899" s="63"/>
      <c r="M899" s="63"/>
      <c r="N899" s="3"/>
      <c r="O899" s="3"/>
      <c r="P899" s="3"/>
      <c r="R899" s="4"/>
      <c r="S899" s="5"/>
      <c r="T899" s="5"/>
    </row>
    <row r="900" spans="3:20" ht="15.75" customHeight="1">
      <c r="C900" s="1"/>
      <c r="J900" s="2"/>
      <c r="K900" s="63"/>
      <c r="L900" s="63"/>
      <c r="M900" s="63"/>
      <c r="N900" s="3"/>
      <c r="O900" s="3"/>
      <c r="P900" s="3"/>
      <c r="R900" s="4"/>
      <c r="S900" s="5"/>
      <c r="T900" s="5"/>
    </row>
    <row r="901" spans="3:20" ht="15.75" customHeight="1">
      <c r="C901" s="1"/>
      <c r="J901" s="2"/>
      <c r="K901" s="63"/>
      <c r="L901" s="63"/>
      <c r="M901" s="63"/>
      <c r="N901" s="3"/>
      <c r="O901" s="3"/>
      <c r="P901" s="3"/>
      <c r="R901" s="4"/>
      <c r="S901" s="5"/>
      <c r="T901" s="5"/>
    </row>
    <row r="902" spans="3:20" ht="15.75" customHeight="1">
      <c r="C902" s="1"/>
      <c r="J902" s="2"/>
      <c r="K902" s="63"/>
      <c r="L902" s="63"/>
      <c r="M902" s="63"/>
      <c r="N902" s="3"/>
      <c r="O902" s="3"/>
      <c r="P902" s="3"/>
      <c r="R902" s="4"/>
      <c r="S902" s="5"/>
      <c r="T902" s="5"/>
    </row>
    <row r="903" spans="3:20" ht="15.75" customHeight="1">
      <c r="C903" s="1"/>
      <c r="J903" s="2"/>
      <c r="K903" s="63"/>
      <c r="L903" s="63"/>
      <c r="M903" s="63"/>
      <c r="N903" s="3"/>
      <c r="O903" s="3"/>
      <c r="P903" s="3"/>
      <c r="R903" s="4"/>
      <c r="S903" s="5"/>
      <c r="T903" s="5"/>
    </row>
    <row r="904" spans="3:20" ht="15.75" customHeight="1">
      <c r="C904" s="1"/>
      <c r="J904" s="2"/>
      <c r="K904" s="63"/>
      <c r="L904" s="63"/>
      <c r="M904" s="63"/>
      <c r="N904" s="3"/>
      <c r="O904" s="3"/>
      <c r="P904" s="3"/>
      <c r="R904" s="4"/>
      <c r="S904" s="5"/>
      <c r="T904" s="5"/>
    </row>
    <row r="905" spans="3:20" ht="15.75" customHeight="1">
      <c r="C905" s="1"/>
      <c r="J905" s="2"/>
      <c r="K905" s="63"/>
      <c r="L905" s="63"/>
      <c r="M905" s="63"/>
      <c r="N905" s="3"/>
      <c r="O905" s="3"/>
      <c r="P905" s="3"/>
      <c r="R905" s="4"/>
      <c r="S905" s="5"/>
      <c r="T905" s="5"/>
    </row>
    <row r="906" spans="3:20" ht="15.75" customHeight="1">
      <c r="C906" s="1"/>
      <c r="J906" s="2"/>
      <c r="K906" s="63"/>
      <c r="L906" s="63"/>
      <c r="M906" s="63"/>
      <c r="N906" s="3"/>
      <c r="O906" s="3"/>
      <c r="P906" s="3"/>
      <c r="R906" s="4"/>
      <c r="S906" s="5"/>
      <c r="T906" s="5"/>
    </row>
    <row r="907" spans="3:20" ht="15.75" customHeight="1">
      <c r="C907" s="1"/>
      <c r="J907" s="2"/>
      <c r="K907" s="63"/>
      <c r="L907" s="63"/>
      <c r="M907" s="63"/>
      <c r="N907" s="3"/>
      <c r="O907" s="3"/>
      <c r="P907" s="3"/>
      <c r="R907" s="4"/>
      <c r="S907" s="5"/>
      <c r="T907" s="5"/>
    </row>
    <row r="908" spans="3:20" ht="15.75" customHeight="1">
      <c r="C908" s="1"/>
      <c r="J908" s="2"/>
      <c r="K908" s="63"/>
      <c r="L908" s="63"/>
      <c r="M908" s="63"/>
      <c r="N908" s="3"/>
      <c r="O908" s="3"/>
      <c r="P908" s="3"/>
      <c r="R908" s="4"/>
      <c r="S908" s="5"/>
      <c r="T908" s="5"/>
    </row>
    <row r="909" spans="3:20" ht="15.75" customHeight="1">
      <c r="C909" s="1"/>
      <c r="J909" s="2"/>
      <c r="K909" s="63"/>
      <c r="L909" s="63"/>
      <c r="M909" s="63"/>
      <c r="N909" s="3"/>
      <c r="O909" s="3"/>
      <c r="P909" s="3"/>
      <c r="R909" s="4"/>
      <c r="S909" s="5"/>
      <c r="T909" s="5"/>
    </row>
    <row r="910" spans="3:20" ht="15.75" customHeight="1">
      <c r="C910" s="1"/>
      <c r="J910" s="2"/>
      <c r="K910" s="63"/>
      <c r="L910" s="63"/>
      <c r="M910" s="63"/>
      <c r="N910" s="3"/>
      <c r="O910" s="3"/>
      <c r="P910" s="3"/>
      <c r="R910" s="4"/>
      <c r="S910" s="5"/>
      <c r="T910" s="5"/>
    </row>
    <row r="911" spans="3:20" ht="15.75" customHeight="1">
      <c r="C911" s="1"/>
      <c r="J911" s="2"/>
      <c r="K911" s="63"/>
      <c r="L911" s="63"/>
      <c r="M911" s="63"/>
      <c r="N911" s="3"/>
      <c r="O911" s="3"/>
      <c r="P911" s="3"/>
      <c r="R911" s="4"/>
      <c r="S911" s="5"/>
      <c r="T911" s="5"/>
    </row>
    <row r="912" spans="3:20" ht="15.75" customHeight="1">
      <c r="C912" s="1"/>
      <c r="J912" s="2"/>
      <c r="K912" s="63"/>
      <c r="L912" s="63"/>
      <c r="M912" s="63"/>
      <c r="N912" s="3"/>
      <c r="O912" s="3"/>
      <c r="P912" s="3"/>
      <c r="R912" s="4"/>
      <c r="S912" s="5"/>
      <c r="T912" s="5"/>
    </row>
    <row r="913" spans="3:20" ht="15.75" customHeight="1">
      <c r="C913" s="1"/>
      <c r="J913" s="2"/>
      <c r="K913" s="63"/>
      <c r="L913" s="63"/>
      <c r="M913" s="63"/>
      <c r="N913" s="3"/>
      <c r="O913" s="3"/>
      <c r="P913" s="3"/>
      <c r="R913" s="4"/>
      <c r="S913" s="5"/>
      <c r="T913" s="5"/>
    </row>
    <row r="914" spans="3:20" ht="15.75" customHeight="1">
      <c r="C914" s="1"/>
      <c r="J914" s="2"/>
      <c r="K914" s="63"/>
      <c r="L914" s="63"/>
      <c r="M914" s="63"/>
      <c r="N914" s="3"/>
      <c r="O914" s="3"/>
      <c r="P914" s="3"/>
      <c r="R914" s="4"/>
      <c r="S914" s="5"/>
      <c r="T914" s="5"/>
    </row>
    <row r="915" spans="3:20" ht="15.75" customHeight="1">
      <c r="C915" s="1"/>
      <c r="J915" s="2"/>
      <c r="K915" s="63"/>
      <c r="L915" s="63"/>
      <c r="M915" s="63"/>
      <c r="N915" s="3"/>
      <c r="O915" s="3"/>
      <c r="P915" s="3"/>
      <c r="R915" s="4"/>
      <c r="S915" s="5"/>
      <c r="T915" s="5"/>
    </row>
    <row r="916" spans="3:20" ht="15.75" customHeight="1">
      <c r="C916" s="1"/>
      <c r="J916" s="2"/>
      <c r="K916" s="63"/>
      <c r="L916" s="63"/>
      <c r="M916" s="63"/>
      <c r="N916" s="3"/>
      <c r="O916" s="3"/>
      <c r="P916" s="3"/>
      <c r="R916" s="4"/>
      <c r="S916" s="5"/>
      <c r="T916" s="5"/>
    </row>
    <row r="917" spans="3:20" ht="15.75" customHeight="1">
      <c r="C917" s="1"/>
      <c r="J917" s="2"/>
      <c r="K917" s="63"/>
      <c r="L917" s="63"/>
      <c r="M917" s="63"/>
      <c r="N917" s="3"/>
      <c r="O917" s="3"/>
      <c r="P917" s="3"/>
      <c r="R917" s="4"/>
      <c r="S917" s="5"/>
      <c r="T917" s="5"/>
    </row>
    <row r="918" spans="3:20" ht="15.75" customHeight="1">
      <c r="C918" s="1"/>
      <c r="J918" s="2"/>
      <c r="K918" s="63"/>
      <c r="L918" s="63"/>
      <c r="M918" s="63"/>
      <c r="N918" s="3"/>
      <c r="O918" s="3"/>
      <c r="P918" s="3"/>
      <c r="R918" s="4"/>
      <c r="S918" s="5"/>
      <c r="T918" s="5"/>
    </row>
    <row r="919" spans="3:20" ht="15.75" customHeight="1">
      <c r="C919" s="1"/>
      <c r="J919" s="2"/>
      <c r="K919" s="63"/>
      <c r="L919" s="63"/>
      <c r="M919" s="63"/>
      <c r="N919" s="3"/>
      <c r="O919" s="3"/>
      <c r="P919" s="3"/>
      <c r="R919" s="4"/>
      <c r="S919" s="5"/>
      <c r="T919" s="5"/>
    </row>
    <row r="920" spans="3:20" ht="15.75" customHeight="1">
      <c r="C920" s="1"/>
      <c r="J920" s="2"/>
      <c r="K920" s="63"/>
      <c r="L920" s="63"/>
      <c r="M920" s="63"/>
      <c r="N920" s="3"/>
      <c r="O920" s="3"/>
      <c r="P920" s="3"/>
      <c r="R920" s="4"/>
      <c r="S920" s="5"/>
      <c r="T920" s="5"/>
    </row>
    <row r="921" spans="3:20" ht="15.75" customHeight="1">
      <c r="C921" s="1"/>
      <c r="J921" s="2"/>
      <c r="K921" s="63"/>
      <c r="L921" s="63"/>
      <c r="M921" s="63"/>
      <c r="N921" s="3"/>
      <c r="O921" s="3"/>
      <c r="P921" s="3"/>
      <c r="R921" s="4"/>
      <c r="S921" s="5"/>
      <c r="T921" s="5"/>
    </row>
    <row r="922" spans="3:20" ht="15.75" customHeight="1">
      <c r="C922" s="1"/>
      <c r="J922" s="2"/>
      <c r="K922" s="63"/>
      <c r="L922" s="63"/>
      <c r="M922" s="63"/>
      <c r="N922" s="3"/>
      <c r="O922" s="3"/>
      <c r="P922" s="3"/>
      <c r="R922" s="4"/>
      <c r="S922" s="5"/>
      <c r="T922" s="5"/>
    </row>
    <row r="923" spans="3:20" ht="15.75" customHeight="1">
      <c r="C923" s="1"/>
      <c r="J923" s="2"/>
      <c r="K923" s="63"/>
      <c r="L923" s="63"/>
      <c r="M923" s="63"/>
      <c r="N923" s="3"/>
      <c r="O923" s="3"/>
      <c r="P923" s="3"/>
      <c r="R923" s="4"/>
      <c r="S923" s="5"/>
      <c r="T923" s="5"/>
    </row>
    <row r="924" spans="3:20" ht="15.75" customHeight="1">
      <c r="C924" s="1"/>
      <c r="J924" s="2"/>
      <c r="K924" s="63"/>
      <c r="L924" s="63"/>
      <c r="M924" s="63"/>
      <c r="N924" s="3"/>
      <c r="O924" s="3"/>
      <c r="P924" s="3"/>
      <c r="R924" s="4"/>
      <c r="S924" s="5"/>
      <c r="T924" s="5"/>
    </row>
    <row r="925" spans="3:20" ht="15.75" customHeight="1">
      <c r="C925" s="1"/>
      <c r="J925" s="2"/>
      <c r="K925" s="63"/>
      <c r="L925" s="63"/>
      <c r="M925" s="63"/>
      <c r="N925" s="3"/>
      <c r="O925" s="3"/>
      <c r="P925" s="3"/>
      <c r="R925" s="4"/>
      <c r="S925" s="5"/>
      <c r="T925" s="5"/>
    </row>
    <row r="926" spans="3:20" ht="15.75" customHeight="1">
      <c r="C926" s="1"/>
      <c r="J926" s="2"/>
      <c r="K926" s="63"/>
      <c r="L926" s="63"/>
      <c r="M926" s="63"/>
      <c r="N926" s="3"/>
      <c r="O926" s="3"/>
      <c r="P926" s="3"/>
      <c r="R926" s="4"/>
      <c r="S926" s="5"/>
      <c r="T926" s="5"/>
    </row>
    <row r="927" spans="3:20" ht="15.75" customHeight="1">
      <c r="C927" s="1"/>
      <c r="J927" s="2"/>
      <c r="K927" s="63"/>
      <c r="L927" s="63"/>
      <c r="M927" s="63"/>
      <c r="N927" s="3"/>
      <c r="O927" s="3"/>
      <c r="P927" s="3"/>
      <c r="R927" s="4"/>
      <c r="S927" s="5"/>
      <c r="T927" s="5"/>
    </row>
    <row r="928" spans="3:20" ht="15.75" customHeight="1">
      <c r="C928" s="1"/>
      <c r="J928" s="2"/>
      <c r="K928" s="63"/>
      <c r="L928" s="63"/>
      <c r="M928" s="63"/>
      <c r="N928" s="3"/>
      <c r="O928" s="3"/>
      <c r="P928" s="3"/>
      <c r="R928" s="4"/>
      <c r="S928" s="5"/>
      <c r="T928" s="5"/>
    </row>
    <row r="929" spans="3:20" ht="15.75" customHeight="1">
      <c r="C929" s="1"/>
      <c r="J929" s="2"/>
      <c r="K929" s="63"/>
      <c r="L929" s="63"/>
      <c r="M929" s="63"/>
      <c r="N929" s="3"/>
      <c r="O929" s="3"/>
      <c r="P929" s="3"/>
      <c r="R929" s="4"/>
      <c r="S929" s="5"/>
      <c r="T929" s="5"/>
    </row>
    <row r="930" spans="3:20" ht="15.75" customHeight="1">
      <c r="C930" s="1"/>
      <c r="J930" s="2"/>
      <c r="K930" s="63"/>
      <c r="L930" s="63"/>
      <c r="M930" s="63"/>
      <c r="N930" s="3"/>
      <c r="O930" s="3"/>
      <c r="P930" s="3"/>
      <c r="R930" s="4"/>
      <c r="S930" s="5"/>
      <c r="T930" s="5"/>
    </row>
    <row r="931" spans="3:20" ht="15.75" customHeight="1">
      <c r="C931" s="1"/>
      <c r="J931" s="2"/>
      <c r="K931" s="63"/>
      <c r="L931" s="63"/>
      <c r="M931" s="63"/>
      <c r="N931" s="3"/>
      <c r="O931" s="3"/>
      <c r="P931" s="3"/>
      <c r="R931" s="4"/>
      <c r="S931" s="5"/>
      <c r="T931" s="5"/>
    </row>
    <row r="932" spans="3:20" ht="15.75" customHeight="1">
      <c r="C932" s="1"/>
      <c r="J932" s="2"/>
      <c r="K932" s="63"/>
      <c r="L932" s="63"/>
      <c r="M932" s="63"/>
      <c r="N932" s="3"/>
      <c r="O932" s="3"/>
      <c r="P932" s="3"/>
      <c r="R932" s="4"/>
      <c r="S932" s="5"/>
      <c r="T932" s="5"/>
    </row>
    <row r="933" spans="3:20" ht="15.75" customHeight="1">
      <c r="C933" s="1"/>
      <c r="J933" s="2"/>
      <c r="K933" s="63"/>
      <c r="L933" s="63"/>
      <c r="M933" s="63"/>
      <c r="N933" s="3"/>
      <c r="O933" s="3"/>
      <c r="P933" s="3"/>
      <c r="R933" s="4"/>
      <c r="S933" s="5"/>
      <c r="T933" s="5"/>
    </row>
    <row r="934" spans="3:20" ht="15.75" customHeight="1">
      <c r="C934" s="1"/>
      <c r="J934" s="2"/>
      <c r="K934" s="63"/>
      <c r="L934" s="63"/>
      <c r="M934" s="63"/>
      <c r="N934" s="3"/>
      <c r="O934" s="3"/>
      <c r="P934" s="3"/>
      <c r="R934" s="4"/>
      <c r="S934" s="5"/>
      <c r="T934" s="5"/>
    </row>
    <row r="935" spans="3:20" ht="15.75" customHeight="1">
      <c r="C935" s="1"/>
      <c r="J935" s="2"/>
      <c r="K935" s="63"/>
      <c r="L935" s="63"/>
      <c r="M935" s="63"/>
      <c r="N935" s="3"/>
      <c r="O935" s="3"/>
      <c r="P935" s="3"/>
      <c r="R935" s="4"/>
      <c r="S935" s="5"/>
      <c r="T935" s="5"/>
    </row>
    <row r="936" spans="3:20" ht="15.75" customHeight="1">
      <c r="C936" s="1"/>
      <c r="J936" s="2"/>
      <c r="K936" s="63"/>
      <c r="L936" s="63"/>
      <c r="M936" s="63"/>
      <c r="N936" s="3"/>
      <c r="O936" s="3"/>
      <c r="P936" s="3"/>
      <c r="R936" s="4"/>
      <c r="S936" s="5"/>
      <c r="T936" s="5"/>
    </row>
    <row r="937" spans="3:20" ht="15.75" customHeight="1">
      <c r="C937" s="1"/>
      <c r="J937" s="2"/>
      <c r="K937" s="63"/>
      <c r="L937" s="63"/>
      <c r="M937" s="63"/>
      <c r="N937" s="3"/>
      <c r="O937" s="3"/>
      <c r="P937" s="3"/>
      <c r="R937" s="4"/>
      <c r="S937" s="5"/>
      <c r="T937" s="5"/>
    </row>
    <row r="938" spans="3:20" ht="15.75" customHeight="1">
      <c r="C938" s="1"/>
      <c r="J938" s="2"/>
      <c r="K938" s="63"/>
      <c r="L938" s="63"/>
      <c r="M938" s="63"/>
      <c r="N938" s="3"/>
      <c r="O938" s="3"/>
      <c r="P938" s="3"/>
      <c r="R938" s="4"/>
      <c r="S938" s="5"/>
      <c r="T938" s="5"/>
    </row>
    <row r="939" spans="3:20" ht="15.75" customHeight="1">
      <c r="C939" s="1"/>
      <c r="J939" s="2"/>
      <c r="K939" s="63"/>
      <c r="L939" s="63"/>
      <c r="M939" s="63"/>
      <c r="N939" s="3"/>
      <c r="O939" s="3"/>
      <c r="P939" s="3"/>
      <c r="R939" s="4"/>
      <c r="S939" s="5"/>
      <c r="T939" s="5"/>
    </row>
    <row r="940" spans="3:20" ht="15.75" customHeight="1">
      <c r="C940" s="1"/>
      <c r="J940" s="2"/>
      <c r="K940" s="63"/>
      <c r="L940" s="63"/>
      <c r="M940" s="63"/>
      <c r="N940" s="3"/>
      <c r="O940" s="3"/>
      <c r="P940" s="3"/>
      <c r="R940" s="4"/>
      <c r="S940" s="5"/>
      <c r="T940" s="5"/>
    </row>
    <row r="941" spans="3:20" ht="15.75" customHeight="1">
      <c r="C941" s="1"/>
      <c r="J941" s="2"/>
      <c r="K941" s="63"/>
      <c r="L941" s="63"/>
      <c r="M941" s="63"/>
      <c r="N941" s="3"/>
      <c r="O941" s="3"/>
      <c r="P941" s="3"/>
      <c r="R941" s="4"/>
      <c r="S941" s="5"/>
      <c r="T941" s="5"/>
    </row>
    <row r="942" spans="3:20" ht="15.75" customHeight="1">
      <c r="C942" s="1"/>
      <c r="J942" s="2"/>
      <c r="K942" s="63"/>
      <c r="L942" s="63"/>
      <c r="M942" s="63"/>
      <c r="N942" s="3"/>
      <c r="O942" s="3"/>
      <c r="P942" s="3"/>
      <c r="R942" s="4"/>
      <c r="S942" s="5"/>
      <c r="T942" s="5"/>
    </row>
    <row r="943" spans="3:20" ht="15.75" customHeight="1">
      <c r="C943" s="1"/>
      <c r="J943" s="2"/>
      <c r="K943" s="63"/>
      <c r="L943" s="63"/>
      <c r="M943" s="63"/>
      <c r="N943" s="3"/>
      <c r="O943" s="3"/>
      <c r="P943" s="3"/>
      <c r="R943" s="4"/>
      <c r="S943" s="5"/>
      <c r="T943" s="5"/>
    </row>
    <row r="944" spans="3:20" ht="15.75" customHeight="1">
      <c r="C944" s="1"/>
      <c r="J944" s="2"/>
      <c r="K944" s="63"/>
      <c r="L944" s="63"/>
      <c r="M944" s="63"/>
      <c r="N944" s="3"/>
      <c r="O944" s="3"/>
      <c r="P944" s="3"/>
      <c r="R944" s="4"/>
      <c r="S944" s="5"/>
      <c r="T944" s="5"/>
    </row>
    <row r="945" spans="3:20" ht="15.75" customHeight="1">
      <c r="C945" s="1"/>
      <c r="J945" s="2"/>
      <c r="K945" s="63"/>
      <c r="L945" s="63"/>
      <c r="M945" s="63"/>
      <c r="N945" s="3"/>
      <c r="O945" s="3"/>
      <c r="P945" s="3"/>
      <c r="R945" s="4"/>
      <c r="S945" s="5"/>
      <c r="T945" s="5"/>
    </row>
    <row r="946" spans="3:20" ht="15.75" customHeight="1">
      <c r="C946" s="1"/>
      <c r="J946" s="2"/>
      <c r="K946" s="63"/>
      <c r="L946" s="63"/>
      <c r="M946" s="63"/>
      <c r="N946" s="3"/>
      <c r="O946" s="3"/>
      <c r="P946" s="3"/>
      <c r="R946" s="4"/>
      <c r="S946" s="5"/>
      <c r="T946" s="5"/>
    </row>
    <row r="947" spans="3:20" ht="15.75" customHeight="1">
      <c r="C947" s="1"/>
      <c r="J947" s="2"/>
      <c r="K947" s="63"/>
      <c r="L947" s="63"/>
      <c r="M947" s="63"/>
      <c r="N947" s="3"/>
      <c r="O947" s="3"/>
      <c r="P947" s="3"/>
      <c r="R947" s="4"/>
      <c r="S947" s="5"/>
      <c r="T947" s="5"/>
    </row>
    <row r="948" spans="3:20" ht="15.75" customHeight="1">
      <c r="C948" s="1"/>
      <c r="J948" s="2"/>
      <c r="K948" s="63"/>
      <c r="L948" s="63"/>
      <c r="M948" s="63"/>
      <c r="N948" s="3"/>
      <c r="O948" s="3"/>
      <c r="P948" s="3"/>
      <c r="R948" s="4"/>
      <c r="S948" s="5"/>
      <c r="T948" s="5"/>
    </row>
    <row r="949" spans="3:20" ht="15.75" customHeight="1">
      <c r="C949" s="1"/>
      <c r="J949" s="2"/>
      <c r="K949" s="63"/>
      <c r="L949" s="63"/>
      <c r="M949" s="63"/>
      <c r="N949" s="3"/>
      <c r="O949" s="3"/>
      <c r="P949" s="3"/>
      <c r="R949" s="4"/>
      <c r="S949" s="5"/>
      <c r="T949" s="5"/>
    </row>
    <row r="950" spans="3:20" ht="15.75" customHeight="1">
      <c r="C950" s="1"/>
      <c r="J950" s="2"/>
      <c r="K950" s="63"/>
      <c r="L950" s="63"/>
      <c r="M950" s="63"/>
      <c r="N950" s="3"/>
      <c r="O950" s="3"/>
      <c r="P950" s="3"/>
      <c r="R950" s="4"/>
      <c r="S950" s="5"/>
      <c r="T950" s="5"/>
    </row>
    <row r="951" spans="3:20" ht="15.75" customHeight="1">
      <c r="C951" s="1"/>
      <c r="J951" s="2"/>
      <c r="K951" s="63"/>
      <c r="L951" s="63"/>
      <c r="M951" s="63"/>
      <c r="N951" s="3"/>
      <c r="O951" s="3"/>
      <c r="P951" s="3"/>
      <c r="R951" s="4"/>
      <c r="S951" s="5"/>
      <c r="T951" s="5"/>
    </row>
    <row r="952" spans="3:20" ht="15.75" customHeight="1">
      <c r="C952" s="1"/>
      <c r="J952" s="2"/>
      <c r="K952" s="63"/>
      <c r="L952" s="63"/>
      <c r="M952" s="63"/>
      <c r="N952" s="3"/>
      <c r="O952" s="3"/>
      <c r="P952" s="3"/>
      <c r="R952" s="4"/>
      <c r="S952" s="5"/>
      <c r="T952" s="5"/>
    </row>
    <row r="953" spans="3:20" ht="15.75" customHeight="1">
      <c r="C953" s="1"/>
      <c r="J953" s="2"/>
      <c r="K953" s="63"/>
      <c r="L953" s="63"/>
      <c r="M953" s="63"/>
      <c r="N953" s="3"/>
      <c r="O953" s="3"/>
      <c r="P953" s="3"/>
      <c r="R953" s="4"/>
      <c r="S953" s="5"/>
      <c r="T953" s="5"/>
    </row>
    <row r="954" spans="3:20" ht="15.75" customHeight="1">
      <c r="C954" s="1"/>
      <c r="J954" s="2"/>
      <c r="K954" s="63"/>
      <c r="L954" s="63"/>
      <c r="M954" s="63"/>
      <c r="N954" s="3"/>
      <c r="O954" s="3"/>
      <c r="P954" s="3"/>
      <c r="R954" s="4"/>
      <c r="S954" s="5"/>
      <c r="T954" s="5"/>
    </row>
    <row r="955" spans="3:20" ht="15.75" customHeight="1">
      <c r="C955" s="1"/>
      <c r="J955" s="2"/>
      <c r="K955" s="63"/>
      <c r="L955" s="63"/>
      <c r="M955" s="63"/>
      <c r="N955" s="3"/>
      <c r="O955" s="3"/>
      <c r="P955" s="3"/>
      <c r="R955" s="4"/>
      <c r="S955" s="5"/>
      <c r="T955" s="5"/>
    </row>
    <row r="956" spans="3:20" ht="15.75" customHeight="1">
      <c r="C956" s="1"/>
      <c r="J956" s="2"/>
      <c r="K956" s="63"/>
      <c r="L956" s="63"/>
      <c r="M956" s="63"/>
      <c r="N956" s="3"/>
      <c r="O956" s="3"/>
      <c r="P956" s="3"/>
      <c r="R956" s="4"/>
      <c r="S956" s="5"/>
      <c r="T956" s="5"/>
    </row>
    <row r="957" spans="3:20" ht="15.75" customHeight="1">
      <c r="C957" s="1"/>
      <c r="J957" s="2"/>
      <c r="K957" s="63"/>
      <c r="L957" s="63"/>
      <c r="M957" s="63"/>
      <c r="N957" s="3"/>
      <c r="O957" s="3"/>
      <c r="P957" s="3"/>
      <c r="R957" s="4"/>
      <c r="S957" s="5"/>
      <c r="T957" s="5"/>
    </row>
    <row r="958" spans="3:20" ht="15.75" customHeight="1">
      <c r="C958" s="1"/>
      <c r="J958" s="2"/>
      <c r="K958" s="63"/>
      <c r="L958" s="63"/>
      <c r="M958" s="63"/>
      <c r="N958" s="3"/>
      <c r="O958" s="3"/>
      <c r="P958" s="3"/>
      <c r="R958" s="4"/>
      <c r="S958" s="5"/>
      <c r="T958" s="5"/>
    </row>
    <row r="959" spans="3:20" ht="15.75" customHeight="1">
      <c r="C959" s="1"/>
      <c r="J959" s="2"/>
      <c r="K959" s="63"/>
      <c r="L959" s="63"/>
      <c r="M959" s="63"/>
      <c r="N959" s="3"/>
      <c r="O959" s="3"/>
      <c r="P959" s="3"/>
      <c r="R959" s="4"/>
      <c r="S959" s="5"/>
      <c r="T959" s="5"/>
    </row>
    <row r="960" spans="3:20" ht="15.75" customHeight="1">
      <c r="C960" s="1"/>
      <c r="J960" s="2"/>
      <c r="K960" s="63"/>
      <c r="L960" s="63"/>
      <c r="M960" s="63"/>
      <c r="N960" s="3"/>
      <c r="O960" s="3"/>
      <c r="P960" s="3"/>
      <c r="R960" s="4"/>
      <c r="S960" s="5"/>
      <c r="T960" s="5"/>
    </row>
    <row r="961" spans="3:20" ht="15.75" customHeight="1">
      <c r="C961" s="1"/>
      <c r="J961" s="2"/>
      <c r="K961" s="63"/>
      <c r="L961" s="63"/>
      <c r="M961" s="63"/>
      <c r="N961" s="3"/>
      <c r="O961" s="3"/>
      <c r="P961" s="3"/>
      <c r="R961" s="4"/>
      <c r="S961" s="5"/>
      <c r="T961" s="5"/>
    </row>
    <row r="962" spans="3:20" ht="15.75" customHeight="1">
      <c r="C962" s="1"/>
      <c r="J962" s="2"/>
      <c r="K962" s="63"/>
      <c r="L962" s="63"/>
      <c r="M962" s="63"/>
      <c r="N962" s="3"/>
      <c r="O962" s="3"/>
      <c r="P962" s="3"/>
      <c r="R962" s="4"/>
      <c r="S962" s="5"/>
      <c r="T962" s="5"/>
    </row>
    <row r="963" spans="3:20" ht="15.75" customHeight="1">
      <c r="C963" s="1"/>
      <c r="J963" s="2"/>
      <c r="K963" s="63"/>
      <c r="L963" s="63"/>
      <c r="M963" s="63"/>
      <c r="N963" s="3"/>
      <c r="O963" s="3"/>
      <c r="P963" s="3"/>
      <c r="R963" s="4"/>
      <c r="S963" s="5"/>
      <c r="T963" s="5"/>
    </row>
    <row r="964" spans="3:20" ht="15.75" customHeight="1">
      <c r="C964" s="1"/>
      <c r="J964" s="2"/>
      <c r="K964" s="63"/>
      <c r="L964" s="63"/>
      <c r="M964" s="63"/>
      <c r="N964" s="3"/>
      <c r="O964" s="3"/>
      <c r="P964" s="3"/>
      <c r="R964" s="4"/>
      <c r="S964" s="5"/>
      <c r="T964" s="5"/>
    </row>
    <row r="965" spans="3:20" ht="15.75" customHeight="1">
      <c r="C965" s="1"/>
      <c r="J965" s="2"/>
      <c r="K965" s="63"/>
      <c r="L965" s="63"/>
      <c r="M965" s="63"/>
      <c r="N965" s="3"/>
      <c r="O965" s="3"/>
      <c r="P965" s="3"/>
      <c r="R965" s="4"/>
      <c r="S965" s="5"/>
      <c r="T965" s="5"/>
    </row>
    <row r="966" spans="3:20" ht="15.75" customHeight="1">
      <c r="C966" s="1"/>
      <c r="J966" s="2"/>
      <c r="K966" s="63"/>
      <c r="L966" s="63"/>
      <c r="M966" s="63"/>
      <c r="N966" s="3"/>
      <c r="O966" s="3"/>
      <c r="P966" s="3"/>
      <c r="R966" s="4"/>
      <c r="S966" s="5"/>
      <c r="T966" s="5"/>
    </row>
    <row r="967" spans="3:20" ht="15.75" customHeight="1">
      <c r="C967" s="1"/>
      <c r="J967" s="2"/>
      <c r="K967" s="63"/>
      <c r="L967" s="63"/>
      <c r="M967" s="63"/>
      <c r="N967" s="3"/>
      <c r="O967" s="3"/>
      <c r="P967" s="3"/>
      <c r="R967" s="4"/>
      <c r="S967" s="5"/>
      <c r="T967" s="5"/>
    </row>
    <row r="968" spans="3:20" ht="15.75" customHeight="1">
      <c r="C968" s="1"/>
      <c r="J968" s="2"/>
      <c r="K968" s="63"/>
      <c r="L968" s="63"/>
      <c r="M968" s="63"/>
      <c r="N968" s="3"/>
      <c r="O968" s="3"/>
      <c r="P968" s="3"/>
      <c r="R968" s="4"/>
      <c r="S968" s="5"/>
      <c r="T968" s="5"/>
    </row>
    <row r="969" spans="3:20" ht="15.75" customHeight="1">
      <c r="C969" s="1"/>
      <c r="J969" s="2"/>
      <c r="K969" s="63"/>
      <c r="L969" s="63"/>
      <c r="M969" s="63"/>
      <c r="N969" s="3"/>
      <c r="O969" s="3"/>
      <c r="P969" s="3"/>
      <c r="R969" s="4"/>
      <c r="S969" s="5"/>
      <c r="T969" s="5"/>
    </row>
    <row r="970" spans="3:20" ht="15.75" customHeight="1">
      <c r="C970" s="1"/>
      <c r="J970" s="2"/>
      <c r="K970" s="63"/>
      <c r="L970" s="63"/>
      <c r="M970" s="63"/>
      <c r="N970" s="3"/>
      <c r="O970" s="3"/>
      <c r="P970" s="3"/>
      <c r="R970" s="4"/>
      <c r="S970" s="5"/>
      <c r="T970" s="5"/>
    </row>
    <row r="971" spans="3:20" ht="15.75" customHeight="1">
      <c r="C971" s="1"/>
      <c r="J971" s="2"/>
      <c r="K971" s="63"/>
      <c r="L971" s="63"/>
      <c r="M971" s="63"/>
      <c r="N971" s="3"/>
      <c r="O971" s="3"/>
      <c r="P971" s="3"/>
      <c r="R971" s="4"/>
      <c r="S971" s="5"/>
      <c r="T971" s="5"/>
    </row>
    <row r="972" spans="3:20" ht="15.75" customHeight="1">
      <c r="C972" s="1"/>
      <c r="J972" s="2"/>
      <c r="K972" s="63"/>
      <c r="L972" s="63"/>
      <c r="M972" s="63"/>
      <c r="N972" s="3"/>
      <c r="O972" s="3"/>
      <c r="P972" s="3"/>
      <c r="R972" s="4"/>
      <c r="S972" s="5"/>
      <c r="T972" s="5"/>
    </row>
    <row r="973" spans="3:20" ht="15.75" customHeight="1">
      <c r="C973" s="1"/>
      <c r="J973" s="2"/>
      <c r="K973" s="63"/>
      <c r="L973" s="63"/>
      <c r="M973" s="63"/>
      <c r="N973" s="3"/>
      <c r="O973" s="3"/>
      <c r="P973" s="3"/>
      <c r="R973" s="4"/>
      <c r="S973" s="5"/>
      <c r="T973" s="5"/>
    </row>
    <row r="974" spans="3:20" ht="15.75" customHeight="1">
      <c r="C974" s="1"/>
      <c r="J974" s="2"/>
      <c r="K974" s="63"/>
      <c r="L974" s="63"/>
      <c r="M974" s="63"/>
      <c r="N974" s="3"/>
      <c r="O974" s="3"/>
      <c r="P974" s="3"/>
      <c r="R974" s="4"/>
      <c r="S974" s="5"/>
      <c r="T974" s="5"/>
    </row>
    <row r="975" spans="3:20" ht="15.75" customHeight="1">
      <c r="C975" s="1"/>
      <c r="J975" s="2"/>
      <c r="K975" s="63"/>
      <c r="L975" s="63"/>
      <c r="M975" s="63"/>
      <c r="N975" s="3"/>
      <c r="O975" s="3"/>
      <c r="P975" s="3"/>
      <c r="R975" s="4"/>
      <c r="S975" s="5"/>
      <c r="T975" s="5"/>
    </row>
    <row r="976" spans="3:20" ht="15.75" customHeight="1">
      <c r="C976" s="1"/>
      <c r="J976" s="2"/>
      <c r="K976" s="63"/>
      <c r="L976" s="63"/>
      <c r="M976" s="63"/>
      <c r="N976" s="3"/>
      <c r="O976" s="3"/>
      <c r="P976" s="3"/>
      <c r="R976" s="4"/>
      <c r="S976" s="5"/>
      <c r="T976" s="5"/>
    </row>
    <row r="977" spans="3:20" ht="15.75" customHeight="1">
      <c r="C977" s="1"/>
      <c r="J977" s="2"/>
      <c r="K977" s="63"/>
      <c r="L977" s="63"/>
      <c r="M977" s="63"/>
      <c r="N977" s="3"/>
      <c r="O977" s="3"/>
      <c r="P977" s="3"/>
      <c r="R977" s="4"/>
      <c r="S977" s="5"/>
      <c r="T977" s="5"/>
    </row>
    <row r="978" spans="3:20" ht="15.75" customHeight="1">
      <c r="C978" s="1"/>
      <c r="J978" s="2"/>
      <c r="K978" s="63"/>
      <c r="L978" s="63"/>
      <c r="M978" s="63"/>
      <c r="N978" s="3"/>
      <c r="O978" s="3"/>
      <c r="P978" s="3"/>
      <c r="R978" s="4"/>
      <c r="S978" s="5"/>
      <c r="T978" s="5"/>
    </row>
    <row r="979" spans="3:20" ht="15.75" customHeight="1">
      <c r="C979" s="1"/>
      <c r="J979" s="2"/>
      <c r="K979" s="63"/>
      <c r="L979" s="63"/>
      <c r="M979" s="63"/>
      <c r="N979" s="3"/>
      <c r="O979" s="3"/>
      <c r="P979" s="3"/>
      <c r="R979" s="4"/>
      <c r="S979" s="5"/>
      <c r="T979" s="5"/>
    </row>
    <row r="980" spans="3:20" ht="15.75" customHeight="1">
      <c r="C980" s="1"/>
      <c r="J980" s="2"/>
      <c r="K980" s="63"/>
      <c r="L980" s="63"/>
      <c r="M980" s="63"/>
      <c r="N980" s="3"/>
      <c r="O980" s="3"/>
      <c r="P980" s="3"/>
      <c r="R980" s="4"/>
      <c r="S980" s="5"/>
      <c r="T980" s="5"/>
    </row>
    <row r="981" spans="3:20" ht="15.75" customHeight="1">
      <c r="C981" s="1"/>
      <c r="J981" s="2"/>
      <c r="K981" s="63"/>
      <c r="L981" s="63"/>
      <c r="M981" s="63"/>
      <c r="N981" s="3"/>
      <c r="O981" s="3"/>
      <c r="P981" s="3"/>
      <c r="R981" s="4"/>
      <c r="S981" s="5"/>
      <c r="T981" s="5"/>
    </row>
    <row r="982" spans="3:20" ht="15.75" customHeight="1">
      <c r="C982" s="1"/>
      <c r="J982" s="2"/>
      <c r="K982" s="63"/>
      <c r="L982" s="63"/>
      <c r="M982" s="63"/>
      <c r="N982" s="3"/>
      <c r="O982" s="3"/>
      <c r="P982" s="3"/>
      <c r="R982" s="4"/>
      <c r="S982" s="5"/>
      <c r="T982" s="5"/>
    </row>
    <row r="983" spans="3:20" ht="15.75" customHeight="1">
      <c r="C983" s="1"/>
      <c r="J983" s="2"/>
      <c r="K983" s="63"/>
      <c r="L983" s="63"/>
      <c r="M983" s="63"/>
      <c r="N983" s="3"/>
      <c r="O983" s="3"/>
      <c r="P983" s="3"/>
      <c r="R983" s="4"/>
      <c r="S983" s="5"/>
      <c r="T983" s="5"/>
    </row>
    <row r="984" spans="3:20" ht="15.75" customHeight="1">
      <c r="C984" s="1"/>
      <c r="J984" s="2"/>
      <c r="K984" s="63"/>
      <c r="L984" s="63"/>
      <c r="M984" s="63"/>
      <c r="N984" s="3"/>
      <c r="O984" s="3"/>
      <c r="P984" s="3"/>
      <c r="R984" s="4"/>
      <c r="S984" s="5"/>
      <c r="T984" s="5"/>
    </row>
    <row r="985" spans="3:20" ht="15.75" customHeight="1">
      <c r="C985" s="1"/>
      <c r="J985" s="2"/>
      <c r="K985" s="63"/>
      <c r="L985" s="63"/>
      <c r="M985" s="63"/>
      <c r="N985" s="3"/>
      <c r="O985" s="3"/>
      <c r="P985" s="3"/>
      <c r="R985" s="4"/>
      <c r="S985" s="5"/>
      <c r="T985" s="5"/>
    </row>
    <row r="986" spans="3:20" ht="15.75" customHeight="1">
      <c r="C986" s="1"/>
      <c r="J986" s="2"/>
      <c r="K986" s="63"/>
      <c r="L986" s="63"/>
      <c r="M986" s="63"/>
      <c r="N986" s="3"/>
      <c r="O986" s="3"/>
      <c r="P986" s="3"/>
      <c r="R986" s="4"/>
      <c r="S986" s="5"/>
      <c r="T986" s="5"/>
    </row>
    <row r="987" spans="3:20" ht="15.75" customHeight="1">
      <c r="C987" s="1"/>
      <c r="J987" s="2"/>
      <c r="K987" s="63"/>
      <c r="L987" s="63"/>
      <c r="M987" s="63"/>
      <c r="N987" s="3"/>
      <c r="O987" s="3"/>
      <c r="P987" s="3"/>
      <c r="R987" s="4"/>
      <c r="S987" s="5"/>
      <c r="T987" s="5"/>
    </row>
    <row r="988" spans="3:20" ht="15.75" customHeight="1">
      <c r="C988" s="1"/>
      <c r="J988" s="2"/>
      <c r="K988" s="63"/>
      <c r="L988" s="63"/>
      <c r="M988" s="63"/>
      <c r="N988" s="3"/>
      <c r="O988" s="3"/>
      <c r="P988" s="3"/>
      <c r="R988" s="4"/>
      <c r="S988" s="5"/>
      <c r="T988" s="5"/>
    </row>
    <row r="989" spans="3:20" ht="15.75" customHeight="1">
      <c r="C989" s="1"/>
      <c r="J989" s="2"/>
      <c r="K989" s="63"/>
      <c r="L989" s="63"/>
      <c r="M989" s="63"/>
      <c r="N989" s="3"/>
      <c r="O989" s="3"/>
      <c r="P989" s="3"/>
      <c r="R989" s="4"/>
      <c r="S989" s="5"/>
      <c r="T989" s="5"/>
    </row>
    <row r="990" spans="3:20" ht="15.75" customHeight="1">
      <c r="C990" s="1"/>
      <c r="J990" s="2"/>
      <c r="K990" s="63"/>
      <c r="L990" s="63"/>
      <c r="M990" s="63"/>
      <c r="N990" s="3"/>
      <c r="O990" s="3"/>
      <c r="P990" s="3"/>
      <c r="R990" s="4"/>
      <c r="S990" s="5"/>
      <c r="T990" s="5"/>
    </row>
    <row r="991" spans="3:20" ht="15.75" customHeight="1">
      <c r="C991" s="1"/>
      <c r="J991" s="2"/>
      <c r="K991" s="63"/>
      <c r="L991" s="63"/>
      <c r="M991" s="63"/>
      <c r="N991" s="3"/>
      <c r="O991" s="3"/>
      <c r="P991" s="3"/>
      <c r="R991" s="4"/>
      <c r="S991" s="5"/>
      <c r="T991" s="5"/>
    </row>
    <row r="992" spans="3:20" ht="15.75" customHeight="1">
      <c r="C992" s="1"/>
      <c r="J992" s="2"/>
      <c r="K992" s="63"/>
      <c r="L992" s="63"/>
      <c r="M992" s="63"/>
      <c r="N992" s="3"/>
      <c r="O992" s="3"/>
      <c r="P992" s="3"/>
      <c r="R992" s="4"/>
      <c r="S992" s="5"/>
      <c r="T992" s="5"/>
    </row>
    <row r="993" spans="3:20" ht="15.75" customHeight="1">
      <c r="C993" s="1"/>
      <c r="J993" s="2"/>
      <c r="K993" s="63"/>
      <c r="L993" s="63"/>
      <c r="M993" s="63"/>
      <c r="N993" s="3"/>
      <c r="O993" s="3"/>
      <c r="P993" s="3"/>
      <c r="R993" s="4"/>
      <c r="S993" s="5"/>
      <c r="T993" s="5"/>
    </row>
    <row r="994" spans="3:20" ht="15.75" customHeight="1">
      <c r="C994" s="1"/>
      <c r="J994" s="2"/>
      <c r="K994" s="63"/>
      <c r="L994" s="63"/>
      <c r="M994" s="63"/>
      <c r="N994" s="3"/>
      <c r="O994" s="3"/>
      <c r="P994" s="3"/>
      <c r="R994" s="4"/>
      <c r="S994" s="5"/>
      <c r="T994" s="5"/>
    </row>
    <row r="995" spans="3:20" ht="15.75" customHeight="1">
      <c r="C995" s="1"/>
      <c r="J995" s="2"/>
      <c r="K995" s="63"/>
      <c r="L995" s="63"/>
      <c r="M995" s="63"/>
      <c r="N995" s="3"/>
      <c r="O995" s="3"/>
      <c r="P995" s="3"/>
      <c r="R995" s="4"/>
      <c r="S995" s="5"/>
      <c r="T995" s="5"/>
    </row>
    <row r="996" spans="3:20" ht="15.75" customHeight="1">
      <c r="C996" s="1"/>
      <c r="J996" s="2"/>
      <c r="K996" s="63"/>
      <c r="L996" s="63"/>
      <c r="M996" s="63"/>
      <c r="N996" s="3"/>
      <c r="O996" s="3"/>
      <c r="P996" s="3"/>
      <c r="R996" s="4"/>
      <c r="S996" s="5"/>
      <c r="T996" s="5"/>
    </row>
    <row r="997" spans="3:20" ht="15.75" customHeight="1">
      <c r="C997" s="1"/>
      <c r="J997" s="2"/>
      <c r="K997" s="63"/>
      <c r="L997" s="63"/>
      <c r="M997" s="63"/>
      <c r="N997" s="3"/>
      <c r="O997" s="3"/>
      <c r="P997" s="3"/>
      <c r="R997" s="4"/>
      <c r="S997" s="5"/>
      <c r="T997" s="5"/>
    </row>
    <row r="998" spans="3:20" ht="15.75" customHeight="1">
      <c r="C998" s="1"/>
      <c r="J998" s="2"/>
      <c r="K998" s="63"/>
      <c r="L998" s="63"/>
      <c r="M998" s="63"/>
      <c r="N998" s="3"/>
      <c r="O998" s="3"/>
      <c r="P998" s="3"/>
      <c r="R998" s="4"/>
      <c r="S998" s="5"/>
      <c r="T998" s="5"/>
    </row>
    <row r="999" spans="3:20" ht="15.75" customHeight="1">
      <c r="C999" s="1"/>
      <c r="J999" s="2"/>
      <c r="K999" s="63"/>
      <c r="L999" s="63"/>
      <c r="M999" s="63"/>
      <c r="N999" s="3"/>
      <c r="O999" s="3"/>
      <c r="P999" s="3"/>
      <c r="R999" s="4"/>
      <c r="S999" s="5"/>
      <c r="T999" s="5"/>
    </row>
    <row r="1000" spans="3:20" ht="15.75" customHeight="1">
      <c r="C1000" s="1"/>
      <c r="J1000" s="2"/>
      <c r="K1000" s="63"/>
      <c r="L1000" s="63"/>
      <c r="M1000" s="63"/>
      <c r="N1000" s="3"/>
      <c r="O1000" s="3"/>
      <c r="P1000" s="3"/>
      <c r="R1000" s="4"/>
      <c r="S1000" s="5"/>
      <c r="T1000" s="5"/>
    </row>
  </sheetData>
  <sheetProtection password="CC27" sheet="1" objects="1" scenarios="1"/>
  <mergeCells count="6">
    <mergeCell ref="D27:L27"/>
    <mergeCell ref="B2:T2"/>
    <mergeCell ref="N3:P3"/>
    <mergeCell ref="R3:T3"/>
    <mergeCell ref="K4:M4"/>
    <mergeCell ref="D25:L25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RESUMO GERAL</vt:lpstr>
      <vt:lpstr>JAN-19</vt:lpstr>
      <vt:lpstr>FEV-19</vt:lpstr>
      <vt:lpstr>MAR-19</vt:lpstr>
      <vt:lpstr>ABR-19</vt:lpstr>
      <vt:lpstr>MAI-19</vt:lpstr>
      <vt:lpstr>JUN-19</vt:lpstr>
      <vt:lpstr>JUL-19</vt:lpstr>
      <vt:lpstr>AGO-19</vt:lpstr>
      <vt:lpstr>SET-19</vt:lpstr>
      <vt:lpstr>OUT-19</vt:lpstr>
      <vt:lpstr>NOV-19</vt:lpstr>
      <vt:lpstr>DEZ-19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Valmir Zarpelon</dc:creator>
  <cp:lastModifiedBy>Valmir Zarpelon</cp:lastModifiedBy>
  <dcterms:created xsi:type="dcterms:W3CDTF">2023-09-14T14:27:47Z</dcterms:created>
  <dcterms:modified xsi:type="dcterms:W3CDTF">2023-09-15T18:34:46Z</dcterms:modified>
</cp:coreProperties>
</file>